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769" firstSheet="3" activeTab="6"/>
  </bookViews>
  <sheets>
    <sheet name="EntryData-ข้อมูล1" sheetId="1" r:id="rId1"/>
    <sheet name="EntryData-ข้อมูล2" sheetId="2" r:id="rId2"/>
    <sheet name="EntryData-ปฐมวัย(ตบช.1-12)" sheetId="3" r:id="rId3"/>
    <sheet name="Summary-ปฐมวัย" sheetId="4" r:id="rId4"/>
    <sheet name="เกณฑ์ประเมิน-ปฐมวัย" sheetId="5" state="hidden" r:id="rId5"/>
    <sheet name="EntryData-ประถม&amp;มัธยม(ตบช.1-4)" sheetId="6" r:id="rId6"/>
    <sheet name="EntryData-ประถม&amp;มัธยม(ตบช.5)" sheetId="7" r:id="rId7"/>
    <sheet name="EntryData-ประถม&amp;มัธยม(ตบช.6-12)" sheetId="8" r:id="rId8"/>
    <sheet name="Summary-ประถม&amp;มัธยม" sheetId="9" r:id="rId9"/>
    <sheet name="เกณฑ์ประเมิน-ประถม&amp;มัธยม" sheetId="10" state="hidden" r:id="rId10"/>
  </sheets>
  <externalReferences>
    <externalReference r:id="rId13"/>
  </externalReferences>
  <definedNames>
    <definedName name="_xlnm.Print_Area" localSheetId="0">'EntryData-ข้อมูล1'!$A$1:$E$46</definedName>
    <definedName name="_xlnm.Print_Area" localSheetId="2">'EntryData-ปฐมวัย(ตบช.1-12)'!$A$1:$G$224</definedName>
    <definedName name="_xlnm.Print_Area" localSheetId="5">'EntryData-ประถม&amp;มัธยม(ตบช.1-4)'!$A$1:$N$39</definedName>
    <definedName name="_xlnm.Print_Area" localSheetId="7">'EntryData-ประถม&amp;มัธยม(ตบช.6-12)'!$A$1:$F$99</definedName>
    <definedName name="_xlnm.Print_Area" localSheetId="3">'Summary-ปฐมวัย'!$A$1:$I$236</definedName>
    <definedName name="_xlnm.Print_Area" localSheetId="8">'Summary-ประถม&amp;มัธยม'!$A$1:$I$233</definedName>
    <definedName name="_xlnm.Print_Area" localSheetId="4">'เกณฑ์ประเมิน-ปฐมวัย'!$A$1:$J$41</definedName>
    <definedName name="_xlnm.Print_Area" localSheetId="9">'เกณฑ์ประเมิน-ประถม&amp;มัธยม'!$A$1:$J$76</definedName>
    <definedName name="_xlnm.Print_Titles" localSheetId="2">'EntryData-ปฐมวัย(ตบช.1-12)'!$8:$8</definedName>
    <definedName name="_xlnm.Print_Titles" localSheetId="5">'EntryData-ประถม&amp;มัธยม(ตบช.1-4)'!$A:$B,'EntryData-ประถม&amp;มัธยม(ตบช.1-4)'!$10:$12</definedName>
    <definedName name="_xlnm.Print_Titles" localSheetId="6">'EntryData-ประถม&amp;มัธยม(ตบช.5)'!$8:$9</definedName>
    <definedName name="_xlnm.Print_Titles" localSheetId="7">'EntryData-ประถม&amp;มัธยม(ตบช.6-12)'!$8:$8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S1" authorId="0">
      <text>
        <r>
          <rPr>
            <u val="single"/>
            <sz val="8"/>
            <rFont val="Tahoma"/>
            <family val="2"/>
          </rPr>
          <t>วิธีการปลดล็อคการป้องกันสูตร</t>
        </r>
        <r>
          <rPr>
            <sz val="8"/>
            <rFont val="Tahoma"/>
            <family val="2"/>
          </rPr>
          <t xml:space="preserve">
For MS.Excel 2003  เครื่องมือ -&gt; การป้องกัน -&gt; การป้องกันแผ่นงาน -&gt; ป้อนรหัสผ่าน "sompol99"
For MS.Excel 2007  Home -&gt; Format -&gt; Unprotect Sheet -&gt; ป้อนรหัสผ่าน "sompol99"</t>
        </r>
      </text>
    </comment>
  </commentList>
</comments>
</file>

<file path=xl/sharedStrings.xml><?xml version="1.0" encoding="utf-8"?>
<sst xmlns="http://schemas.openxmlformats.org/spreadsheetml/2006/main" count="1837" uniqueCount="1044">
  <si>
    <r>
      <t>ตัวบ่งชี้ที่ ๑</t>
    </r>
    <r>
      <rPr>
        <b/>
        <i/>
        <sz val="14"/>
        <color indexed="16"/>
        <rFont val="BrowalliaUPC"/>
        <family val="2"/>
      </rPr>
      <t xml:space="preserve">  ผู้เรียนมีสุขภาพกายและสุขภาพจิตที่ดี (น้ำหนัก ๑๐ คะแนน)</t>
    </r>
  </si>
  <si>
    <t>๑.๑ ผู้เรียนมีน้ำหนัก ส่วนสูงและสมรรถภาพทางกายตามเกณฑ์ รวมทั้งรู้จักดูแลตนเองให้มีความปลอดภัย</t>
  </si>
  <si>
    <t xml:space="preserve">๑.๒ ผู้เรียนมีสุนทรียภาพ </t>
  </si>
  <si>
    <r>
      <t>ตัวบ่งชี้ที่ ๒</t>
    </r>
    <r>
      <rPr>
        <b/>
        <i/>
        <sz val="14"/>
        <color indexed="16"/>
        <rFont val="BrowalliaUPC"/>
        <family val="2"/>
      </rPr>
      <t xml:space="preserve">  ผู้เรียนมีคุณธรรม จริยธรรมและค่านิยมที่พึงประสงค์ (น้ำหนัก ๑๐ คะแนน)</t>
    </r>
  </si>
  <si>
    <t>๒.๑ ผู้เรียนเป็นลูกที่ดีของพ่อแม่ ผู้ปกครอง</t>
  </si>
  <si>
    <t>๒.๒ ผู้เรียนเป็นนักเรียนที่ดีของโรงเรียน</t>
  </si>
  <si>
    <t xml:space="preserve">๒.๓ ผู้เรียนมีการบำเพ็ญประโยชน์ต่อสังคม </t>
  </si>
  <si>
    <r>
      <t>ตัวบ่งชี้ที่ ๓</t>
    </r>
    <r>
      <rPr>
        <b/>
        <i/>
        <sz val="14"/>
        <color indexed="16"/>
        <rFont val="BrowalliaUPC"/>
        <family val="2"/>
      </rPr>
      <t xml:space="preserve">  ผู้เรียนมีความใฝ่รู้และเรียนรู้อย่างต่อเนื่อง (๑๐ คะแนน)</t>
    </r>
  </si>
  <si>
    <t xml:space="preserve">๓.๑ ผู้เรียนค้นคว้าหาความรู้จากการอ่านและใช้เทคโนโลยีสารสนเทศ </t>
  </si>
  <si>
    <r>
      <t>ตัวบ่งชี้ที่ ๔</t>
    </r>
    <r>
      <rPr>
        <b/>
        <i/>
        <sz val="14"/>
        <color indexed="16"/>
        <rFont val="BrowalliaUPC"/>
        <family val="2"/>
      </rPr>
      <t xml:space="preserve">  ผู้เรียนคิดเป็น ทำเป็น (๑๐ คะแนน)</t>
    </r>
  </si>
  <si>
    <t xml:space="preserve">๔.๑ ผู้เรียนมีความสามารถด้านการคิด </t>
  </si>
  <si>
    <r>
      <t>ตัวบ่งชี้ที่ ๕</t>
    </r>
    <r>
      <rPr>
        <b/>
        <i/>
        <sz val="14"/>
        <color indexed="16"/>
        <rFont val="BrowalliaUPC"/>
        <family val="2"/>
      </rPr>
      <t xml:space="preserve">  ผลสัมฤทธิ์ทางการเรียนของผู้เรียน (๒๐ คะแนน)</t>
    </r>
  </si>
  <si>
    <r>
      <t>๕.๑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ภาษาไทย</t>
    </r>
    <r>
      <rPr>
        <sz val="14"/>
        <color indexed="8"/>
        <rFont val="Browallia New"/>
        <family val="2"/>
      </rPr>
      <t xml:space="preserve"> ในระดับชั้น ป.๖  ม.๓ และ ม.๖ </t>
    </r>
  </si>
  <si>
    <r>
      <t>๕.๒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คณิตศาสตร์</t>
    </r>
    <r>
      <rPr>
        <sz val="14"/>
        <color indexed="8"/>
        <rFont val="Browallia New"/>
        <family val="2"/>
      </rPr>
      <t xml:space="preserve"> ในระดับชั้น ป.๖ ม.๓ และ ม.๖ </t>
    </r>
  </si>
  <si>
    <r>
      <t>๕.๓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วิทยาศาสตร์</t>
    </r>
    <r>
      <rPr>
        <sz val="14"/>
        <color indexed="8"/>
        <rFont val="Browallia New"/>
        <family val="2"/>
      </rPr>
      <t xml:space="preserve"> ในระดับชั้น ป.๖ ม.๓ และ ม.๖ </t>
    </r>
  </si>
  <si>
    <r>
      <t>๕.๔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สังคมศึกษา ศาสนาและวัฒนธรรม</t>
    </r>
    <r>
      <rPr>
        <sz val="14"/>
        <color indexed="8"/>
        <rFont val="Browallia New"/>
        <family val="2"/>
      </rPr>
      <t xml:space="preserve"> ในระดับชั้น   ป.๖ ม.๓ และ ม.๖ </t>
    </r>
  </si>
  <si>
    <r>
      <t>๕.๕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สุขศึกษาและพลศึกษา</t>
    </r>
    <r>
      <rPr>
        <sz val="14"/>
        <color indexed="8"/>
        <rFont val="Browallia New"/>
        <family val="2"/>
      </rPr>
      <t xml:space="preserve"> ในระดับชั้น ป.๖ ม.๓ และ ม.๖ </t>
    </r>
  </si>
  <si>
    <r>
      <t>๕.๖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ศิลปะ</t>
    </r>
    <r>
      <rPr>
        <sz val="14"/>
        <color indexed="8"/>
        <rFont val="Browallia New"/>
        <family val="2"/>
      </rPr>
      <t xml:space="preserve">ในระดับชั้น ป.๖ ม.๓ และ ม.๖ </t>
    </r>
  </si>
  <si>
    <r>
      <t>๕.๗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การงานอาชีพและเทคโนโลยี</t>
    </r>
    <r>
      <rPr>
        <sz val="14"/>
        <color indexed="8"/>
        <rFont val="Browallia New"/>
        <family val="2"/>
      </rPr>
      <t xml:space="preserve">ในระดับชั้น ป.๖ ม.๓ และ ม.๖ </t>
    </r>
  </si>
  <si>
    <r>
      <t>๕.๘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ภาษาต่างประเทศ</t>
    </r>
    <r>
      <rPr>
        <sz val="14"/>
        <color indexed="8"/>
        <rFont val="Browallia New"/>
        <family val="2"/>
      </rPr>
      <t xml:space="preserve"> ในระดับชั้น ป.๖ ม.๓ และ ม.๖ </t>
    </r>
  </si>
  <si>
    <r>
      <t>ตัวบ่งชี้ที่ ๖</t>
    </r>
    <r>
      <rPr>
        <b/>
        <i/>
        <sz val="14"/>
        <color indexed="16"/>
        <rFont val="BrowalliaUPC"/>
        <family val="2"/>
      </rPr>
      <t xml:space="preserve">  ประสิทธิผลของการจัดการเรียนการสอนที่เน้นผู้เรียนเป็นสำคัญ (๑๐ คะแนน)</t>
    </r>
  </si>
  <si>
    <t xml:space="preserve">๖.๑ ประสิทธิผลการดำเนินการของสถานศึกษา </t>
  </si>
  <si>
    <t xml:space="preserve">๖.๒ กระบวนการจัดการเรียนรู้ของครู  </t>
  </si>
  <si>
    <r>
      <t>ตัวบ่งชี้ที่ ๗</t>
    </r>
    <r>
      <rPr>
        <b/>
        <i/>
        <sz val="14"/>
        <color indexed="16"/>
        <rFont val="BrowalliaUPC"/>
        <family val="2"/>
      </rPr>
      <t xml:space="preserve">  ประสิทธิภาพของการบริหารจัดการและการพัฒนาสถานศึกษา (๕ คะแนน)</t>
    </r>
  </si>
  <si>
    <r>
      <t>ข้อที่ ๑</t>
    </r>
    <r>
      <rPr>
        <sz val="14"/>
        <color indexed="8"/>
        <rFont val="Browallia New"/>
        <family val="2"/>
      </rPr>
      <t xml:space="preserve"> ประสิทธิภาพการบริหารจัดการตามบทบาท หน้าที่ของผู้บริหารสถานศึกษา  </t>
    </r>
  </si>
  <si>
    <r>
      <t>ข้อที่ ๒</t>
    </r>
    <r>
      <rPr>
        <sz val="14"/>
        <color indexed="8"/>
        <rFont val="Browallia New"/>
        <family val="2"/>
      </rPr>
      <t xml:space="preserve"> ประสิทธิภาพของคณะกรรมการสถานศึกษา ขั้นพื้นฐาน </t>
    </r>
  </si>
  <si>
    <r>
      <t>ข้อที่ ๓</t>
    </r>
    <r>
      <rPr>
        <sz val="14"/>
        <color indexed="8"/>
        <rFont val="Browallia New"/>
        <family val="2"/>
      </rPr>
      <t xml:space="preserve">  บรรยากาศและสภาพแวดล้อม</t>
    </r>
  </si>
  <si>
    <r>
      <t>ตัวบ่งชี้ที่ ๘</t>
    </r>
    <r>
      <rPr>
        <b/>
        <i/>
        <sz val="14"/>
        <color indexed="16"/>
        <rFont val="BrowalliaUPC"/>
        <family val="2"/>
      </rPr>
      <t xml:space="preserve">  พัฒนาการของการประกันคุณภาพภายในโดยสถานศึกษาและต้นสังกัด (๕ คะแนน)</t>
    </r>
  </si>
  <si>
    <t xml:space="preserve">๘.๒ ผลการประเมินคุณภาพภายในของ สถานศึกษา ๓ ปีย้อนหลัง </t>
  </si>
  <si>
    <r>
      <t>ตัวบ่งชี้ที่ ๑๐</t>
    </r>
    <r>
      <rPr>
        <b/>
        <i/>
        <sz val="14"/>
        <color indexed="16"/>
        <rFont val="BrowalliaUPC"/>
        <family val="2"/>
      </rPr>
      <t xml:space="preserve">  ผลการพัฒนาตามจุดเน้นและจุดเด่นที่ส่งผลสะท้อนเป็นเอกลักษณ์สถานศึกษา (น้ำหนัก ๕ คะแนน)
</t>
    </r>
  </si>
  <si>
    <t>๑๐. ผลการพัฒนาตามจุดเน้นและจุดเด่นที่ส่งผลสะท้อนเป็นเอกลักษณ์สถานศึกษา</t>
  </si>
  <si>
    <t>ตัวบ่งชี้</t>
  </si>
  <si>
    <r>
      <t>ตัวบ่งชี้ที่ ๑๑</t>
    </r>
    <r>
      <rPr>
        <b/>
        <i/>
        <sz val="14"/>
        <color indexed="16"/>
        <rFont val="BrowalliaUPC"/>
        <family val="2"/>
      </rPr>
      <t xml:space="preserve">  ผลการดำเนินงานโครงการพิเศษเพื่อส่งเสริมบทบาทของสถานศึกษา (น้ำหนัก ๕ คะแนน)</t>
    </r>
  </si>
  <si>
    <t xml:space="preserve">๑๑.๑ คะแนนเชิงคุณภาพ </t>
  </si>
  <si>
    <t xml:space="preserve">๑๑.๒ คะแนนพัฒนาการ </t>
  </si>
  <si>
    <r>
      <t>ตัวบ่งชี้ที่ ๑๒</t>
    </r>
    <r>
      <rPr>
        <b/>
        <i/>
        <sz val="14"/>
        <color indexed="16"/>
        <rFont val="BrowalliaUPC"/>
        <family val="2"/>
      </rPr>
      <t xml:space="preserve">  ผลการส่งเสริมพัฒนาสถานศึกษาเพื่อยกระดับมาตรฐาน รักษามาตรฐานและพัฒนาสู่ความเป็นเลิศที่สอดคล้องกับ</t>
    </r>
  </si>
  <si>
    <t>๑๒. ผลการส่งเสริมพัฒนาสถานศึกษาเพื่อยกระดับมาตรฐาน รักษามาตรฐาน และพัฒนาสู่ความเป็นเลิศที่สอดคล้องกับแนวทางการปฏิรูปการศึกษา</t>
  </si>
  <si>
    <t>MS.Excel 2003</t>
  </si>
  <si>
    <t>MS.Excel 2007</t>
  </si>
  <si>
    <t>กรุณากดปุ่มนี้ เพื่อเรียงลำดับตัวบ่งชี้ ------&gt;</t>
  </si>
  <si>
    <t>มาตรฐานที่ ๑</t>
  </si>
  <si>
    <t>มาตรฐานที่ ๒</t>
  </si>
  <si>
    <t xml:space="preserve">๓.๒ ผู้เรียนเรียนรู้ผ่านประสบการณ์ตรงร่วมกับผู้อื่นทั้งในและนอกสถานศึกษา </t>
  </si>
  <si>
    <t xml:space="preserve">๔.๒ ผู้เรียนมีความสามารถในการปรับตัวเข้ากับสังคม </t>
  </si>
  <si>
    <t xml:space="preserve">๘.๑ ผลการตรวจสอบคุณภาพและมาตรฐานการศึกษาของสถานศึกษาจากต้นสังกัด ๑ ปีล่าสุด </t>
  </si>
  <si>
    <t xml:space="preserve">                 </t>
  </si>
  <si>
    <t>แนวทางการปฏิรูปการศึกษา (น้ำหนัก ๕ คะแนน)</t>
  </si>
  <si>
    <t>ตัวบ่งชี้ที่ ๑</t>
  </si>
  <si>
    <t>ตัวบ่งชี้ที่ ๒</t>
  </si>
  <si>
    <t xml:space="preserve">ตัวบ่งชี้ที่ ๓  </t>
  </si>
  <si>
    <t>ตัวบ่งชี้ที่ ๔</t>
  </si>
  <si>
    <t>ตัวบ่งชี้ที่ ๕</t>
  </si>
  <si>
    <t xml:space="preserve">ตัวบ่งชี้ที่ ๖ </t>
  </si>
  <si>
    <t>ประสิทธิผลของการจัดการเรียนการสอนที่เน้นผู้เรียนเป็นสำคัญ</t>
  </si>
  <si>
    <t xml:space="preserve">ตัวบ่งชี้ที่ ๗ </t>
  </si>
  <si>
    <t>ตัวบ่งชี้ที่ ๘</t>
  </si>
  <si>
    <t>ผู้เรียนมีความใฝ่รู้และเรียนรู้อย่างต่อเนื่อง</t>
  </si>
  <si>
    <t>ตัวบ่งชี้ที่ ๙</t>
  </si>
  <si>
    <t>ตัวบ่งชี้ที่ ๑๐</t>
  </si>
  <si>
    <t xml:space="preserve"> ผลการพัฒนาตามจุดเน้นและจุดเด่นที่ส่งผลสะท้อนเป็นเอกลักษณ์ของสถานศึกษา</t>
  </si>
  <si>
    <t>ตัวบ่งชี้ที่ ๑๑</t>
  </si>
  <si>
    <t>ผลการดำเนินงานโครงการพิเศษเพื่อส่งเสริมบทบาทของสถานศึกษา</t>
  </si>
  <si>
    <t>ตัวบ่งชี้ที่ ๑๒</t>
  </si>
  <si>
    <t>(ประถมศึกษา และ/หรือ มัธยมศึกษา)</t>
  </si>
  <si>
    <t>ผลการจัดการศึกษา</t>
  </si>
  <si>
    <t>การบริหารจัดการการศึกษา</t>
  </si>
  <si>
    <t>มาตรฐานที่ ๓</t>
  </si>
  <si>
    <t>การจัดการเรียนการสอนที่เน้นผู้เรียนเป็นสำคัญ</t>
  </si>
  <si>
    <t>มาตรฐานที่ ๔</t>
  </si>
  <si>
    <t>ว่าด้วยการประกันคุณภาพภายใน</t>
  </si>
  <si>
    <r>
      <t>(กรุณาป้อนผลประเมินลงในช่อง</t>
    </r>
    <r>
      <rPr>
        <b/>
        <i/>
        <u val="single"/>
        <sz val="14"/>
        <color indexed="16"/>
        <rFont val="BrowalliaUPC"/>
        <family val="2"/>
      </rPr>
      <t>สีเขียว</t>
    </r>
    <r>
      <rPr>
        <b/>
        <i/>
        <sz val="14"/>
        <color indexed="16"/>
        <rFont val="BrowalliaUPC"/>
        <family val="2"/>
      </rPr>
      <t>เท่านั้น)</t>
    </r>
  </si>
  <si>
    <r>
      <t>ผลการประเมินคุณภาพภายนอกสถานศึกษ</t>
    </r>
    <r>
      <rPr>
        <b/>
        <u val="single"/>
        <sz val="18"/>
        <color indexed="8"/>
        <rFont val="BrowalliaUPC"/>
        <family val="2"/>
      </rPr>
      <t>า รอบสาม</t>
    </r>
    <r>
      <rPr>
        <sz val="18"/>
        <color indexed="8"/>
        <rFont val="BrowalliaUPC"/>
        <family val="2"/>
      </rPr>
      <t xml:space="preserve">  </t>
    </r>
    <r>
      <rPr>
        <i/>
        <sz val="18"/>
        <color indexed="8"/>
        <rFont val="BrowalliaUPC"/>
        <family val="2"/>
      </rPr>
      <t>(สำหรับป้อนผลประเมินตัวบ่งชี้ที่ 6-12)</t>
    </r>
  </si>
  <si>
    <t>ไปที่เมนู เครื่องมือ -&gt; แมโคร -&gt; ความปลอดภัย -&gt; ระดับความปลอดภัย -&gt; ต่ำ -&gt; Save ไฟล์ -&gt; ออกจาก MS.Excel แล้วเข้าโปรแกรมอีกครั้ง)</t>
  </si>
  <si>
    <t>(หากไม่สามารถกดปุ่ม "เรียงลำดับ" ดำเนินการดังนี้</t>
  </si>
  <si>
    <r>
      <t>การเรียงลำดับตัวบ่งชี้ที่มีคุณภาพระดับดีขึ้นไป/ต่ำกว่าระดับดีตามมาตรฐานคุณภาพ สมศ</t>
    </r>
    <r>
      <rPr>
        <b/>
        <i/>
        <sz val="14"/>
        <color indexed="16"/>
        <rFont val="BrowalliaUPC"/>
        <family val="2"/>
      </rPr>
      <t>. (ระดับประถม-มัธยม)</t>
    </r>
  </si>
  <si>
    <t xml:space="preserve">ผลประเมินตัวบ่งชี้ที่ ๑๒ อยู่ในระดับคุณภาพ :  </t>
  </si>
  <si>
    <t xml:space="preserve">ผลประเมินตัวบ่งชี้ที่ ๑๑ อยู่ในระดับคุณภาพ :  </t>
  </si>
  <si>
    <t xml:space="preserve">ผลประเมินตัวบ่งชี้ที่ ๑๐ อยู่ในระดับคุณภาพ :  </t>
  </si>
  <si>
    <t xml:space="preserve">ผลประเมินตัวบ่งชี้ที่ ๙ อยู่ในระดับคุณภาพ :  </t>
  </si>
  <si>
    <t xml:space="preserve">ผลประเมินตัวบ่งชี้ที่ ๘ อยู่ในระดับคุณภาพ :  </t>
  </si>
  <si>
    <t>สพป.กรุงเทพมหานคร</t>
  </si>
  <si>
    <t>สพป.กระบี่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</si>
  <si>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</si>
  <si>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</si>
  <si>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</si>
  <si>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</si>
  <si>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</si>
  <si>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</si>
  <si>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</si>
  <si>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</si>
  <si>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</si>
  <si>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</si>
  <si>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</si>
  <si>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</si>
  <si>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</si>
  <si>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</si>
  <si>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</si>
  <si>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</si>
  <si>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</si>
  <si>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</si>
  <si>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</si>
  <si>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</si>
  <si>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</si>
  <si>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</si>
  <si>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</si>
  <si>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</si>
  <si>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</si>
  <si>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</si>
  <si>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</si>
  <si>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</si>
  <si>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</si>
  <si>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</si>
  <si>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</si>
  <si>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</si>
  <si>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</si>
  <si>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</si>
  <si>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</si>
  <si>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</si>
  <si>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</si>
  <si>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</si>
  <si>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</si>
  <si>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</si>
  <si>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</si>
  <si>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</si>
  <si>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</si>
  <si>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</si>
  <si>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</si>
  <si>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</si>
  <si>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</si>
  <si>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</si>
  <si>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</si>
  <si>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</si>
  <si>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</si>
  <si>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</si>
  <si>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</si>
  <si>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</si>
  <si>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</si>
  <si>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</si>
  <si>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</si>
  <si>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</si>
  <si>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</si>
  <si>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</si>
  <si>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</si>
  <si>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</si>
  <si>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</si>
  <si>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</si>
  <si>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</si>
  <si>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</si>
  <si>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</si>
  <si>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</si>
  <si>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</si>
  <si>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</si>
  <si>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</si>
  <si>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</si>
  <si>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</si>
  <si>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</si>
  <si>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</si>
  <si>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</si>
  <si>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</si>
  <si>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</si>
  <si>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</si>
  <si>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</si>
  <si>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</si>
  <si>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</si>
  <si>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</si>
  <si>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</si>
  <si>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</si>
  <si>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</si>
  <si>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</si>
  <si>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</si>
  <si>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</si>
  <si>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</si>
  <si>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</si>
  <si>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</si>
  <si>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</si>
  <si>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</si>
  <si>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</si>
  <si>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</si>
  <si>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</si>
  <si>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</si>
  <si>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</si>
  <si>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</si>
  <si>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</si>
  <si>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</si>
  <si>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</si>
  <si>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</si>
  <si>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</si>
  <si>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</si>
  <si>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</si>
  <si>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</si>
  <si>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</si>
  <si>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</si>
  <si>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</si>
  <si>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</si>
  <si>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</si>
  <si>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</si>
  <si>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</si>
  <si>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</si>
  <si>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</si>
  <si>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</si>
  <si>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</si>
  <si>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</si>
  <si>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</si>
  <si>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</si>
  <si>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</si>
  <si>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</si>
  <si>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</si>
  <si>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</si>
  <si>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</si>
  <si>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</si>
  <si>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</si>
  <si>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</si>
  <si>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</si>
  <si>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</si>
  <si>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</si>
  <si>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</si>
  <si>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</si>
  <si>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</si>
  <si>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</si>
  <si>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</si>
  <si>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</si>
  <si>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</si>
  <si>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</si>
  <si>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</si>
  <si>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</si>
  <si>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</si>
  <si>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</si>
  <si>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</si>
  <si>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</si>
  <si>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</si>
  <si>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</si>
  <si>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</si>
  <si>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</si>
  <si>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</si>
  <si>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</si>
  <si>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</si>
  <si>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</si>
  <si>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</si>
  <si>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</si>
  <si>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</si>
  <si>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</si>
  <si>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</si>
  <si>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</si>
  <si>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</si>
  <si>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</si>
  <si>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</si>
  <si>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</si>
  <si>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</si>
  <si>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</si>
  <si>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</si>
  <si>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</si>
  <si>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</si>
  <si>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</si>
  <si>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</si>
  <si>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</si>
  <si>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</si>
  <si>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</si>
  <si>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</si>
  <si>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</si>
  <si>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</si>
  <si>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</si>
  <si>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</si>
  <si>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สพม.เขต 1 (กรุงเทพฯ)</t>
  </si>
  <si>
    <t>สพม.เขต 2 (กรุงเทพฯ)</t>
  </si>
  <si>
    <t>สพม.เขต 3 (นนทบุรี, พระนครศรีอยุธยา)</t>
  </si>
  <si>
    <t>สพม.เขต 4 (ปทุมธานี, สระบุรี)</t>
  </si>
  <si>
    <t>สพม.เขต 5 (สิงห์บุรี, ลพบุรี, ชัยนาท, อ่างทอง)</t>
  </si>
  <si>
    <t>สพม.เขต 6 (ฉะเชิงเทรา, สมุทรปราการ)</t>
  </si>
  <si>
    <t>สพม.เขต 7 (ปราจีนบุรี, นครนายก, สระแก้ว)</t>
  </si>
  <si>
    <t>สพม.เขต 8 (ราชบุรี, กาญจนบุรี)</t>
  </si>
  <si>
    <t>สพม.เขต 9 (สุพรรณบุรี, นครปฐม)</t>
  </si>
  <si>
    <t>สพม.เขต 10 (เพชรบุรี, ประจวบคีรีขันธ์, สมุทรสงคราม, สมุทรสาคร)</t>
  </si>
  <si>
    <t>สพม.เขต 11 (สุราษฎร์ธานี, ชุมพร)</t>
  </si>
  <si>
    <t>สพม.เขต 12 (นครศรีธรรมราช, พัทลุง)</t>
  </si>
  <si>
    <t>สพม.เขต 13 (ตรัง, กระบี่)</t>
  </si>
  <si>
    <t>สพม.เขต 14 (พังงา, ภูเก็ต, ระนอง)</t>
  </si>
  <si>
    <t>สพม.เขต 15 (นราธิวาส, ปัตตานี, ยะลา)</t>
  </si>
  <si>
    <t>สพม.เขต 16 (สงขลา, สตูล)</t>
  </si>
  <si>
    <t>สพม.เขต 17 (จันทบุรี, ตราด)</t>
  </si>
  <si>
    <t>สพม.เขต 18 (ชลบุรี, ระยอง)</t>
  </si>
  <si>
    <t>สพม.เขต 19 (เลย, หนองบัวลำภู)</t>
  </si>
  <si>
    <t>สพม.เขต 20 (อุดรธานี)</t>
  </si>
  <si>
    <t>สพม.เขต 22 (นครพนม, มุกดาหาร)</t>
  </si>
  <si>
    <t>สพม.เขต 23 (สกลนคร)</t>
  </si>
  <si>
    <t>สพม.เขต 24 (กาฬสินธุ์)</t>
  </si>
  <si>
    <t>สพม.เขต 25 (ขอนแก่น)</t>
  </si>
  <si>
    <t>สพม.เขต 26 (มหาสารคาม)</t>
  </si>
  <si>
    <t>สพม.เขต 27 (ร้อยเอ็ด)</t>
  </si>
  <si>
    <t>สพม.เขต 28 (ศรีสะเกษ, ยโสธร)</t>
  </si>
  <si>
    <t>สพม.เขต 29 (อุบลราชธานี, อำนาจเจริญ)</t>
  </si>
  <si>
    <t>สพม.เขต 30 (ชัยภูมิ)</t>
  </si>
  <si>
    <t>สพม.เขต 31 (นครราชสีมา)</t>
  </si>
  <si>
    <t>สพม.เขต 32 (บุรีรัมย์)</t>
  </si>
  <si>
    <t>สพม.เขต 33 (สุรินทร์)</t>
  </si>
  <si>
    <t>สพม.เขต 34 (เชียงใหม่, แม่ฮ่องสอน)</t>
  </si>
  <si>
    <t>สพม.เขต 35 (ลำปาง, ลำพูน)</t>
  </si>
  <si>
    <t>สพม.เขต 36 (เชียงราย, พะเยา)</t>
  </si>
  <si>
    <t>สพม.เขต 37 (แพร่, น่าน)</t>
  </si>
  <si>
    <t>สพม.เขต 38 (สุโขทัย, ตาก)</t>
  </si>
  <si>
    <t>สพม.เขต 39 (พิษณุโลก, อุตรดิตถ์)</t>
  </si>
  <si>
    <t>สพม.เขต 40 (เพชรบูรณ์)</t>
  </si>
  <si>
    <t>สพม.เขต 41 (กำแพงเพชร, พิจิตร)</t>
  </si>
  <si>
    <t>สพม.เขต 42 (นครสวรรค์, อุทัยธานี)</t>
  </si>
  <si>
    <t xml:space="preserve">ผลประเมินตัวบ่งชี้ที่ ๗ อยู่ในระดับคุณภาพ :  </t>
  </si>
  <si>
    <t xml:space="preserve">ผลประเมินตัวบ่งชี้ที่ ๖ อยู่ในระดับคุณภาพ :  </t>
  </si>
  <si>
    <t xml:space="preserve">ผลประเมินตัวบ่งชี้ที่ ๕ อยู่ในระดับคุณภาพ :  </t>
  </si>
  <si>
    <t xml:space="preserve">ผลประเมินตัวบ่งชี้ที่ ๔ อยู่ในระดับคุณภาพ :  </t>
  </si>
  <si>
    <t xml:space="preserve">ผลประเมินตัวบ่งชี้ที่ ๓ อยู่ในระดับคุณภาพ :  </t>
  </si>
  <si>
    <t xml:space="preserve">ผลประเมินตัวบ่งชี้ที่ ๒ อยู่ในระดับคุณภาพ :  </t>
  </si>
  <si>
    <t xml:space="preserve">ผลประเมินตัวบ่งชี้ที่ ๑ อยู่ในระดับคุณภาพ :  </t>
  </si>
  <si>
    <t>1. องค์ประกอบและการได้มาของคณะกรรมการสถานศึกษาขั้นพื้นฐานเป็นไปตามหลักเกณฑ์ที่กำหนด</t>
  </si>
  <si>
    <t>11. คณะกรรมการสถานศึกษาขั้นพื้นฐานให้ความเห็นชอบรายงานผลการดำเนินงานประจำปีของสถานศึกษาก่อนเสนอต่อสาธารณชน</t>
  </si>
  <si>
    <t>รวมจำนวนบุคลากรครูทั้งหมด :</t>
  </si>
  <si>
    <t>คำนำหน้าหน่วยประเมิน</t>
  </si>
  <si>
    <t>บจก.</t>
  </si>
  <si>
    <t>มูลนิธิ</t>
  </si>
  <si>
    <t>สมาคม</t>
  </si>
  <si>
    <t>หจก.</t>
  </si>
  <si>
    <t>หสน.</t>
  </si>
  <si>
    <t>อื่น ๆ</t>
  </si>
  <si>
    <t>ชั้นเรียนที่สอน</t>
  </si>
  <si>
    <t>ประถม1 - ประถม6</t>
  </si>
  <si>
    <t>ประถม1 - มัธยม3</t>
  </si>
  <si>
    <t>ประถม1 - มัธยม6</t>
  </si>
  <si>
    <t>มัธยม1 - มัธยม3</t>
  </si>
  <si>
    <t>มัธยม1 - มัธยม6</t>
  </si>
  <si>
    <t>มัธยม4 - มัธยม6</t>
  </si>
  <si>
    <t>อนุบาล1 - ประถม6</t>
  </si>
  <si>
    <t>อนุบาล1 - มัธยม3</t>
  </si>
  <si>
    <t>อนุบาล1 - มัธยม6</t>
  </si>
  <si>
    <t>อนุบาล1 - อนุบาล3</t>
  </si>
  <si>
    <t>จังหวัด</t>
  </si>
  <si>
    <t>กระบี่</t>
  </si>
  <si>
    <t>กรุงเทพฯ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</si>
  <si>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</si>
  <si>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</si>
  <si>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</si>
  <si>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</si>
  <si>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</si>
  <si>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</si>
  <si>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</si>
  <si>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</si>
  <si>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</si>
  <si>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</si>
  <si>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</si>
  <si>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</si>
  <si>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</si>
  <si>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</si>
  <si>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</si>
  <si>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</si>
  <si>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</si>
  <si>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</si>
  <si>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</si>
  <si>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</si>
  <si>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</si>
  <si>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</si>
  <si>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</si>
  <si>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</si>
  <si>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</si>
  <si>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</si>
  <si>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</si>
  <si>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r>
      <t xml:space="preserve">ประสิทธิผลของระบบประกันคุณภาพภายในโดยสถานศึกษาหรือหน่วยงานที่มีหน้าที่กำกับดูแลสถานศึกษา 
</t>
    </r>
    <r>
      <rPr>
        <i/>
        <u val="single"/>
        <sz val="14"/>
        <color indexed="10"/>
        <rFont val="Browallia New"/>
        <family val="2"/>
      </rPr>
      <t>(สำหรับสถานศึกษาประเภทศูนย์พัฒนาเด็ก)</t>
    </r>
  </si>
  <si>
    <t>1) วางแผนการปฏิบัติงานที่ครอบคลุมทุกปัจจัยที่ส่งผลต่อคุณภาพการศึกษา รวมถึงการวางแผน การจัดระบบบริหารและสารสนเทศที่มีประสิทธิภาพ</t>
  </si>
  <si>
    <t>2) ปฏิบัติตามแผน นิเทศ ติดตาม ประเมินผลและนำผลมาเปรียบเทียบกับเป้าหมายตามแผนอย่างต่อเนื่อง</t>
  </si>
  <si>
    <t>3) นำข้อมูลและผลการประเมินไปใช้เพื่อการตัดสินใจและปรับปรุงพัฒนางานตามพันธกิจให้เกิดผลดี</t>
  </si>
  <si>
    <t>4) ประเมินระบบประกันคุณภาพของสถานศึกษาโดยใช้หลักการมีส่วนร่วม  การตรวจสอบถ่วงดุลและเสนอผลลัพธ์ของการประกันคุณภาพต่อหน่วยงานที่มีหน้าที่กำกับดูแลสถานศึกษาอย่างน้อยปีละ 1 ครั้ง</t>
  </si>
  <si>
    <t>5) จัดทำรายงานประจำปีที่เป็นรายงานการประเมินตนเองอย่างมีคุณภาพ สามารถรองรับการประเมินคุณภาพภายนอก</t>
  </si>
  <si>
    <r>
      <t xml:space="preserve">พัฒนาการของการประกันคุณภาพภายในโดยสถานศึกษาและต้นสังกัด </t>
    </r>
    <r>
      <rPr>
        <i/>
        <u val="single"/>
        <sz val="14"/>
        <color indexed="10"/>
        <rFont val="Browallia New"/>
        <family val="2"/>
      </rPr>
      <t>(สำหรับสถานศึกษาประเภทโรงเรียนที่จัดการศึกษาระดับปฐมวัย)</t>
    </r>
  </si>
  <si>
    <t>ผลการพัฒนาให้บรรลุเป้าหมายตามปรัชญา ปณิธาน/วิสัยทัศน์  พันธกิจ และวัตถุประสงค์ของการจัดตั้งสถานศึกษา</t>
  </si>
  <si>
    <t>ผลการดำเนินการโครงการพิเศษเพื่อส่งเสริมบทบาทของสถานศึกษา</t>
  </si>
  <si>
    <t>ผลการส่งเสริมพัฒนาสถานศึกษาเพื่อยกระดับมาตรฐาน  รักษามาตรฐาน  และพัฒนาสู่ความเป็นเลิศที่สอดคล้องกับแนวทางการปฏิรูปการศึกษา</t>
  </si>
  <si>
    <t>1) ครูหรือผู้เลี้ยงดูเด็กตั้งแต่ร้อยละ 75 ขึ้นไปที่สนับสนุนให้เด็กรู้จักควบคุมตนเอง อดทนรอคอยและมุ่งมั่นตั้งใจ</t>
  </si>
  <si>
    <r>
      <t>ผลการประเมินคุณภาพภายนอกสถานศึกษ</t>
    </r>
    <r>
      <rPr>
        <b/>
        <u val="single"/>
        <sz val="18"/>
        <color indexed="8"/>
        <rFont val="BrowalliaUPC"/>
        <family val="2"/>
      </rPr>
      <t>า รอบสาม</t>
    </r>
    <r>
      <rPr>
        <sz val="18"/>
        <color indexed="8"/>
        <rFont val="BrowalliaUPC"/>
        <family val="2"/>
      </rPr>
      <t xml:space="preserve">  </t>
    </r>
    <r>
      <rPr>
        <i/>
        <sz val="18"/>
        <color indexed="8"/>
        <rFont val="BrowalliaUPC"/>
        <family val="2"/>
      </rPr>
      <t>(สำหรับป้อนผลประเมินตัวบ่งชี้ที่ 1-12)</t>
    </r>
  </si>
  <si>
    <t>ปีล่าสุด</t>
  </si>
  <si>
    <r>
      <t>เชิงปริมาณ</t>
    </r>
    <r>
      <rPr>
        <sz val="14"/>
        <color indexed="8"/>
        <rFont val="Browallia New"/>
        <family val="2"/>
      </rPr>
      <t xml:space="preserve">  คะแนนของผลการตรวจสอบคุณภาพและมาตรฐานการศึกษาของสถานศึกษาจากต้นสังกัด 1 ปีล่าสุด </t>
    </r>
    <r>
      <rPr>
        <i/>
        <u val="single"/>
        <sz val="14"/>
        <color indexed="8"/>
        <rFont val="Browallia New"/>
        <family val="2"/>
      </rPr>
      <t>(ป้อนข้อมูลคะแนนดิบจากต้นสังกัด 0 ถึง 5)</t>
    </r>
  </si>
  <si>
    <r>
      <t>ผลการประเมินคุณภาพภายนอกสถานศึกษ</t>
    </r>
    <r>
      <rPr>
        <b/>
        <u val="single"/>
        <sz val="18"/>
        <color indexed="8"/>
        <rFont val="BrowalliaUPC"/>
        <family val="2"/>
      </rPr>
      <t>า รอบสาม</t>
    </r>
    <r>
      <rPr>
        <b/>
        <sz val="18"/>
        <color indexed="8"/>
        <rFont val="BrowalliaUPC"/>
        <family val="2"/>
      </rPr>
      <t xml:space="preserve">  </t>
    </r>
    <r>
      <rPr>
        <i/>
        <sz val="18"/>
        <color indexed="8"/>
        <rFont val="BrowalliaUPC"/>
        <family val="2"/>
      </rPr>
      <t>(สำหรับป้อนผลประเมินตัวบ่งชี้ที่ 1-4)</t>
    </r>
  </si>
  <si>
    <t>เกณฑ์การพิจารณาผลสัมฤทธิ์</t>
  </si>
  <si>
    <t>คำน้ำหนักร้อยละ</t>
  </si>
  <si>
    <t>ข้อมูลปีปัจจุบัน</t>
  </si>
  <si>
    <t>จำนวนผู้เข้าสอบ</t>
  </si>
  <si>
    <t>จำนวนผู้เรียนที่มีผลการทดสอบระดับดี</t>
  </si>
  <si>
    <t>ร้อยละของผู้เรียนที่มีผลการทดสอบระดับดี</t>
  </si>
  <si>
    <t>ข้อมูล 1 ปีย้อนหลัง</t>
  </si>
  <si>
    <t>เชิงปริมาณ</t>
  </si>
  <si>
    <t>เชิงพัฒนาการ</t>
  </si>
  <si>
    <t>รวม</t>
  </si>
  <si>
    <r>
      <t>ผลการประเมินคุณภาพภายนอกสถานศึกษ</t>
    </r>
    <r>
      <rPr>
        <b/>
        <u val="single"/>
        <sz val="18"/>
        <color indexed="8"/>
        <rFont val="BrowalliaUPC"/>
        <family val="2"/>
      </rPr>
      <t>า รอบสาม</t>
    </r>
    <r>
      <rPr>
        <sz val="18"/>
        <color indexed="8"/>
        <rFont val="BrowalliaUPC"/>
        <family val="2"/>
      </rPr>
      <t xml:space="preserve">  </t>
    </r>
    <r>
      <rPr>
        <i/>
        <sz val="18"/>
        <color indexed="8"/>
        <rFont val="BrowalliaUPC"/>
        <family val="2"/>
      </rPr>
      <t>(สำหรับป้อนผลประเมินตัวบ่งชี้ที่ 5)</t>
    </r>
  </si>
  <si>
    <t>6) ครูหรือผู้เลี้ยงดูเด็กตั้งแต่ร้อยละ 75 ขึ้นไปที่สร้างเสริมสุขนิสัยที่ดีในการรักษาความสะอาด ป้องกันโรคและความปลอดภัยแก่ร่างกาย</t>
  </si>
  <si>
    <t>4) ครูหรือผู้เลี้ยงดูเด็กตั้งแต่ร้อยละ 75 ขึ้นไปที่จัดโอกาสให้เด็กได้ชื่นชมและตอบสนองต่อศิลปะ ดนตรีและการเคลื่อนไหว หรือสัมผัสกับความมหัศจรรย์ของธรรมชาติและปรากฏการณ์ทางธรรมชาติ</t>
  </si>
  <si>
    <t>5) ครูหรือผู้เลี้ยงดูเด็กตั้งแต่ร้อยละ 75 ขึ้นไปที่จัดโอกาสให้เด็กได้สื่อสารความคิดหรือประสบการณ์ของตนผ่านศิลปะ ดนตรีและการเคลื่อนไหวในลักษณะต่าง ๆ</t>
  </si>
  <si>
    <t>1) ครูหรือผู้เลี้ยงดูเด็กตั้งแต่ร้อยละ 75 ขึ้นไปที่ปฏิบัติตนเป็นแบบอย่างที่ดี ทั้งทางกาย วาจาและการปฏิบัติต่อผู้อื่น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</si>
  <si>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</si>
  <si>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</si>
  <si>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</si>
  <si>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</si>
  <si>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</si>
  <si>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</si>
  <si>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</si>
  <si>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</si>
  <si>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</si>
  <si>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</si>
  <si>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</si>
  <si>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</si>
  <si>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</si>
  <si>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</si>
  <si>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</si>
  <si>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</si>
  <si>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</si>
  <si>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</si>
  <si>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</si>
  <si>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</si>
  <si>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</si>
  <si>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</si>
  <si>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</si>
  <si>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</si>
  <si>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</si>
  <si>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</si>
  <si>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</si>
  <si>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</si>
  <si>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</si>
  <si>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</si>
  <si>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</si>
  <si>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</si>
  <si>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</si>
  <si>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</si>
  <si>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</si>
  <si>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</si>
  <si>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</si>
  <si>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</si>
  <si>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</si>
  <si>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</si>
  <si>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</si>
  <si>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</si>
  <si>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</si>
  <si>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</si>
  <si>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</si>
  <si>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</si>
  <si>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</si>
  <si>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เขตพื้นที่การศึกษา</t>
  </si>
  <si>
    <t>เด็กมีสุขนิสัยสมวัย</t>
  </si>
  <si>
    <t>เด็กมีพัฒนาการด้านอารมณ์และจิตใจสมวัย</t>
  </si>
  <si>
    <t>เด็กมีสุขภาพจิตสมวัย</t>
  </si>
  <si>
    <t>เด็กมีสุนทรียภาพสมวัย</t>
  </si>
  <si>
    <t>เด็กมีพัฒนาการด้านสังคมสมวัย</t>
  </si>
  <si>
    <t>เด็กมีวินัยและรู้ผิดชอบสมวัย</t>
  </si>
  <si>
    <t>เด็กสามารถปรับตัวเข้ากับสังคมได้</t>
  </si>
  <si>
    <t>เด็กมีพัฒนาการด้านสติปัญญาสมวัย</t>
  </si>
  <si>
    <t>เด็กมีความใฝ่รู้สมวัย</t>
  </si>
  <si>
    <t>เด็กมีการเรียนรู้ด้วยตนเองสมวัย</t>
  </si>
  <si>
    <t>เด็กมีทักษะในการสื่อสารสมวัย</t>
  </si>
  <si>
    <t>เด็กมีจินตนาการและความคิดสร้างสรรค์สมวัย</t>
  </si>
  <si>
    <t>เด็กมีความพร้อมศึกษาต่อในขั้นต่อไป</t>
  </si>
  <si>
    <t>เด็กมีทักษะพื้นฐานตามพัฒนาการทุกด้านสมวัย</t>
  </si>
  <si>
    <t>เด็กมีความรู้พื้นฐานสมวัย</t>
  </si>
  <si>
    <t>ประสิทธิผลของการจัดประสบการณ์การเรียนรู้ที่เน้นเด็กเป็นสำคัญ</t>
  </si>
  <si>
    <t>ครูหรือผู้เลี้ยงดูเด็กส่งเสริมการเรียนรู้เพื่อพัฒนาการด้านร่างกาย</t>
  </si>
  <si>
    <t>1) ครูหรือผู้เลี้ยงดูเด็กตั้งแต่ร้อยละ 75 ขึ้นไปที่โน้มน้าวให้เด็กรับประทานอาหารครบหมู่ ดื่มน้ำสะอาดและนม  อย่างเพียงพอประมาณ 600-800 มิลลิลิตรต่อวัน</t>
  </si>
  <si>
    <t>2) ครูหรือผู้เลี้ยงดูเด็กตั้งแต่ร้อยละ 75 ขึ้นไปที่ดูแลให้เด็กได้รับวัคซีนป้องกันโรคที่จำเป็นตามวัย</t>
  </si>
  <si>
    <t>3) ครูหรือผู้เลี้ยงดูเด็กตั้งแต่ร้อยละ 75 ขึ้นไปที่จัดโอกาสให้เด็กช่วยเหลือตัวเองในการปฏิบัติกิจวัตรประจำวัน</t>
  </si>
  <si>
    <t>4) ครูหรือผู้เลี้ยงดูเด็กตั้งแต่ร้อยละ 75 ขึ้นไปที่จัดกิจกรรมให้เด็กได้ใช้กล้ามเนื้อมัดเล็ก  มัดใหญ่ และการประสานสัมพันธ์ของทักษะกลไก</t>
  </si>
  <si>
    <t>5) ครูหรือผู้เลี้ยงดูเด็กตั้งแต่ร้อยละ 75 ขึ้นไปที่จัดโอกาสให้เด็กเล่นเกม  ออกกำลังกายที่เหมาะสมกับวัย ความสามารถ และความสนใจของเด็กแต่ละคน</t>
  </si>
  <si>
    <t>ครูหรือผู้เลี้ยงดูเด็กส่งเสริมการเรียนรู้เพื่อพัฒนาการด้านอารมณ์และจิตใจ</t>
  </si>
  <si>
    <t>2) ครูหรือผู้เลี้ยงดูเด็กตั้งแต่ร้อยละ 75 ขึ้นไปที่สนับสนุนให้เด็กมีความรู้สึกที่ดีต่อตนเองและผู้อื่น</t>
  </si>
  <si>
    <t>3) ครูหรือผู้เลี้ยงดูเด็กตั้งแต่ร้อยละ 75 ขึ้นไปที่จัดโอกาสให้เด็กได้เลือกทำกิจกรรมตามความสนใจ ความถนัด ความสามารถและความพอใจของเด็ก</t>
  </si>
  <si>
    <t>ครูหรือผู้เลี้ยงดูเด็กส่งเสริมการเรียนรู้เพื่อพัฒนาการด้านสังคม</t>
  </si>
  <si>
    <t xml:space="preserve">2) ครูหรือผู้เลี้ยงดูเด็กตั้งแต่ร้อยละ 75 ขึ้นไปที่ส่งเสริมให้เด็กมีความประพฤติดี ได้แก่ ขยัน ประหยัด ซื่อสัตย์ มีวินัย สุภาพ สะอาด สามัคคี มีน้ำใจ </t>
  </si>
  <si>
    <t>3) ครูหรือผู้เลี้ยงดูเด็กตั้งแต่ร้อยละ 75 ขึ้นไปที่ส่งเสริมให้เด็กชื่นชมธรรมชาติและดูแลรักษาสิ่งแวดล้อม</t>
  </si>
  <si>
    <t>4) ครูหรือผู้เลี้ยงดูเด็กตั้งแต่ร้อยละ 75 ขึ้นไปที่ส่งเสริมให้เด็กได้ปฏิบัติตนตามวัฒนธรรมไทยและหลักศาสนาที่นับถือ</t>
  </si>
  <si>
    <t>5) ครูหรือผู้เลี้ยงดูเด็กตั้งแต่ร้อยละ 75 ขึ้นไปที่จัดโอกาสให้เด็กเรียนรู้การเป็นผู้นำและผู้ตามที่ดี</t>
  </si>
  <si>
    <t>6) ครูหรือผู้เลี้ยงดูเด็กตั้งแต่ร้อยละ 75 ขึ้นไปที่จัดโอกาสให้เด็กได้เรียนรู้อย่างร่วมมือกับเพื่อนเป็นกลุ่มเล็กและกลุ่มใหญ่</t>
  </si>
  <si>
    <t>7) ครูหรือผู้เลี้ยงดูเด็กตั้งแต่ร้อยละ 75 ขึ้นไปที่จัดโอกาสให้เด็กได้เรียนรู้และเข้าร่วมกิจกรรมในโอกาสวันสำคัญต่างๆ ตามระบอบประชาธิปไตยอันมีพระมหากษัตริย์เป็นประมุข</t>
  </si>
  <si>
    <t>ครูหรือผู้เลี้ยงดูเด็กส่งเสริมการเรียนรู้เพื่อพัฒนาการด้านสติปัญญา</t>
  </si>
  <si>
    <t>1) ครูหรือผู้เลี้ยงดูเด็กตั้งแต่ร้อยละ 75 ขึ้นไปที่จัดกิจกรรมให้เด็กสืบค้น สำรวจ และตั้งคำถามเพื่อสร้างความเข้าใจเกี่ยวกับสิ่งต่างๆ รอบตัว</t>
  </si>
  <si>
    <t>2) ครูหรือผู้เลี้ยงดูเด็กตั้งแต่ร้อยละ 75 ขึ้นไปที่จัดกิจกรรมให้เด็กได้เล่าถึงสิ่งที่ทำ ทบทวนประสบการณ์เดิม ทบทวนเรื่องที่เด็กควรรู้หรือเหตุการณ์ที่น่าสนใจ</t>
  </si>
  <si>
    <t>3) ครูหรือผู้เลี้ยงดูเด็กตั้งแต่ร้อยละ 75 ขึ้นไปที่เปิดโอกาสให้เด็กคุ้นเคยกับหนังสือและได้อ่านหนังสือตามวัย</t>
  </si>
  <si>
    <t xml:space="preserve">4) ครูหรือผู้เลี้ยงดูเด็กตั้งแต่ร้อยละ 75 ขึ้นไปที่จัดกิจกรรมแบบบูรณาการเป็นรายบุคคล กลุ่มเล็ก และกลุ่มใหญ่ผ่านกิจกรรมแบบบูรณาการที่เด็กได้เล่นและลงมือกระทำเพื่อพัฒนาความคิดรวบยอดและทักษะเกี่ยวกับคณิตศาสตร์ วิทยาศาสตร์ ภาษา สังคม ดนตรี กีฬา ที่เหมาะสมกับบริบทวัฒนธรรมของเด็ก </t>
  </si>
  <si>
    <t>5) ครูหรือผู้เลี้ยงดูเด็กตั้งแต่ร้อยละ 75 ขึ้นไปที่ส่งเสริมให้เด็กแสดงความคิดสร้างสรรค์อย่างอิสระ</t>
  </si>
  <si>
    <t>ครูหรือผู้เลี้ยงดูเด็กส่งเสริมความสัมพันธ์ทางบวกกับเด็กและครอบครัว</t>
  </si>
  <si>
    <t>1) ครูหรือผู้เลี้ยงดูเด็กตั้งแต่ร้อยละ 75 ขึ้นไปที่สร้างความสัมพันธ์ที่มั่นคงกับเด็ก</t>
  </si>
  <si>
    <t>2) ครูหรือผู้เลี้ยงดูเด็กตั้งแต่ร้อยละ 75 ขึ้นไปที่ยอมรับในความเป็นตัวตนของเด็ก</t>
  </si>
  <si>
    <t>3) ครูหรือผู้เลี้ยงดูเด็กตั้งแต่ร้อยละ 75 ขึ้นไปที่ปฏิบัติกับเด็กอย่างให้เกียรติและเท่าเทียมกัน  โดยไม่แบ่งแยกเชื้อชาติ ภาษา เพศ หรือภูมิหลังทางวัฒนธรรม และสร้างเสริมให้เด็กเห็นคุณค่าของความแตกต่าง</t>
  </si>
  <si>
    <t>4) ครูหรือผู้เลี้ยงดูเด็กตั้งแต่ร้อยละ 75 ขึ้นไปที่ส่งเสริมการสร้างมิตรภาพระหว่างเด็ก</t>
  </si>
  <si>
    <t>5) ครูหรือผู้เลี้ยงดูเด็กตั้งแต่ร้อยละ 75 ขึ้นไปที่มีปฏิสัมพันธ์กับผู้ปกครองอย่างให้เกียรติและสม่ำเสมอ</t>
  </si>
  <si>
    <t>ครูหรือผู้เลี้ยงดูเด็กส่งเสริมการเรียนรู้ที่ตอบสนองต่อธรรมชาติและพัฒนาการของเด็ก</t>
  </si>
  <si>
    <t>1) ครูหรือผู้เลี้ยงดูเด็กตั้งแต่ร้อยละ 75 ขึ้นไปที่จัดทำแผนการจัดประสบการณ์การเรียนรู้ ที่เหมาะสมกับการเรียนรู้และพัฒนาการเด็กตามวัยอย่างเหมาะสมตามบริบทของท้องถิ่น</t>
  </si>
  <si>
    <t>2) ครูหรือผู้เลี้ยงดูเด็กตั้งแต่ร้อยละ 75 ขึ้นไปที่จัดประสบการณ์การเรียนรู้ที่หลากหลายเพื่อให้เด็กมีโอกาสในการเรียนรู้อย่างเต็มศักยภาพ</t>
  </si>
  <si>
    <t>3) ครูหรือผู้เลี้ยงดูเด็กตั้งแต่ร้อยละ 75 ขึ้นไปที่จัดสภาพแวดล้อมที่ปลอดภัยต่อสุขภาพและร่างกายของเด็ก</t>
  </si>
  <si>
    <t>4) ครูหรือผู้เลี้ยงดูเด็กตั้งแต่ร้อยละ 75 ขึ้นไปที่จัดสภาพแวดล้อมที่ตอบสนองความต้องการส่งเสริมพัฒนาการและการเรียนรู้ของเด็ก</t>
  </si>
  <si>
    <t>5) ครูหรือผู้เลี้ยงดูเด็กตั้งแต่ร้อยละ 75 ขึ้นไปที่จัดสภาพแวดล้อมให้มีบรรยากาศที่อบอุ่นและสอดคล้องกับบริบททางวัฒนธรรม</t>
  </si>
  <si>
    <t>6) ครูหรือผู้เลี้ยงดูเด็กตั้งแต่ร้อยละ 75 ขึ้นไปที่จัดสภาพแวดล้อมที่ป้องกันพฤติกรรมที่ไม่พึงประสงค์ของเด็ก</t>
  </si>
  <si>
    <t>7) ครูหรือผู้เลี้ยงดูเด็กตั้งแต่ร้อยละ 75 ขึ้นไปที่มีการวางแผนและจัดระบบการประเมินพัฒนาการเด็กที่สอดคล้องกับมาตรฐานคุณลักษณะที่พึงประสงค์</t>
  </si>
  <si>
    <t>8) ครูหรือผู้เลี้ยงดูเด็กตั้งแต่ร้อยละ 75 ขึ้นไปที่ติดตาม บันทึกและประเมินพัฒนาการของเด็กอย่างสม่ำเสมอต่อเนื่องด้วยวิธีการที่หลากหลาย</t>
  </si>
  <si>
    <t>9) ครูหรือผู้เลี้ยงดูเด็กตั้งแต่ร้อยละ 75 ขึ้นไปที่นำผลการประเมินพัฒนาการเด็กทุกด้านไปใช้เพื่อการพัฒนาเด็กและพัฒนาแนวทางการจัดประสบการณ์การเรียนรู้</t>
  </si>
  <si>
    <t>10) ครูหรือผู้เลี้ยงดูเด็กตั้งแต่ร้อยละ 75 ขึ้นไปที่เปิดโอกาสให้ผู้ปกครองมีส่วนร่วมในการวางแผนนำผลประเมินไปพัฒนาเด็ก</t>
  </si>
  <si>
    <t>ประสิทธิภาพการบริหารจัดการของผู้บริหารสถานศึกษา</t>
  </si>
  <si>
    <t>1) ผู้บริหารสถานศึกษามีความสามารถในการบริหาร</t>
  </si>
  <si>
    <t>2) ผู้บริหารสถานศึกษามีความสามารถด้านการบริหารงบประมาณ</t>
  </si>
  <si>
    <t>3) ผู้บริหารสถานศึกษามีความรู้และเป็นผู้นำในการพัฒนาวิชาการ</t>
  </si>
  <si>
    <t>4) ผู้บริหารสถานศึกษาสนับสนุนให้ผู้เกี่ยวข้องมีส่วนร่วมในการพัฒนาคุณภาพสถานศึกษา</t>
  </si>
  <si>
    <t>ประสิทธิภาพของคณะกรรมการสถานศึกษา</t>
  </si>
  <si>
    <t>1) คณะกรรมการสถานศึกษามีความรู้ ความสามารถและประสบการณ์ด้านต่างๆ หลากหลายและมีบทบาทสำคัญต่อการพัฒนาคุณภาพการศึกษาของสถานศึกษา</t>
  </si>
  <si>
    <t>2) คณะกรรมการสถานศึกษามีส่วนร่วมในการบริหารงานวิชาการ</t>
  </si>
  <si>
    <t>3) คณะกรรมการสถานศึกษามีส่วนร่วมในการบริหารงานบุคคล</t>
  </si>
  <si>
    <t>4) คณะกรรมการสถานศึกษามีส่วนร่วมในการบริหารงานงบประมาณ</t>
  </si>
  <si>
    <t>5) คณะกรรมการสถานศึกษามีส่วนร่วมในการบริหารงานบริหารทั่วไป</t>
  </si>
  <si>
    <t>ประสิทธิภาพของสถานศึกษาในการจัดให้มีครูหรือผู้เลี้ยงดูเด็กเพียงพอ และมีคุณภาพ</t>
  </si>
  <si>
    <t>1) มีการบริหารจัดการให้มีจำนวนครูหรือผู้เลี้ยงดูเด็กครบห้องและมีจำนวนเพียงพอกับจำนวนเด็ก</t>
  </si>
  <si>
    <t>2) มีการคัดเลือกและพัฒนาครูหรือผู้เลี้ยงดูเด็กให้มีความรู้ความสามารถตรงกับงานที่รับผิดชอบ</t>
  </si>
  <si>
    <t>3) มีการคัดเลือกและพัฒนาครูหรือผู้เลี้ยงดูเด็กให้มีคุณลักษณะที่พึงประสงค์</t>
  </si>
  <si>
    <t>4) ส่งเสริม สนับสนุนให้ครูหรือผู้เลี้ยงดูเด็กได้รับการอบรมด้านการพัฒนาเด็กปฐมวัยเป็นประจำทุกปี</t>
  </si>
  <si>
    <t>ประสิทธิภาพของสถานศึกษาในการจัดสภาพแวดล้อมภายนอกอาคาร ให้เอื้อต่อการเรียนรู้ ปลอดภัยและถูกสุขลักษณะ</t>
  </si>
  <si>
    <t>1) สถานศึกษามีที่ตั้งเป็นสัดส่วน มีอาณาเขตชัดเจน ตั้งอยู่ห่างจากแหล่ง อบายมุข ฝุ่นละออง กลิ่น เสียงรบกวนและพื้นที่เสี่ยงต่ออันตราย</t>
  </si>
  <si>
    <t>2) มีพื้นที่ภายนอกเพียงพอเหมาะสมกับจำนวนเด็กและมีการจัดสรรพื้นที่อย่างชัดเจน สำหรับเป็นสนามเด็กเล่น การเล่นอิสระและการทำกิจกรรมนอกห้องเรียน</t>
  </si>
  <si>
    <t>3) มีพื้นที่สนามเด็กเล่นและมีเครื่องเล่นที่เหมาะสม ปลอดภัยสำหรับเด็ก</t>
  </si>
  <si>
    <r>
      <t>ตัวบ่งชี้ที่ ๑</t>
    </r>
    <r>
      <rPr>
        <b/>
        <i/>
        <sz val="14"/>
        <color indexed="16"/>
        <rFont val="BrowalliaUPC"/>
        <family val="2"/>
      </rPr>
      <t xml:space="preserve">  เด็กมีพัฒนาการด้านร่างกายสมวัย (น้ำหนัก ๕ คะแนน)</t>
    </r>
  </si>
  <si>
    <t>๑.๑ เด็กมีสุขภาพกายสมวัย</t>
  </si>
  <si>
    <t>๑.๒ เด็กมีสุขนิสัยสมวัย</t>
  </si>
  <si>
    <r>
      <t>ตัวบ่งชี้ที่ ๒</t>
    </r>
    <r>
      <rPr>
        <b/>
        <i/>
        <sz val="14"/>
        <color indexed="16"/>
        <rFont val="BrowalliaUPC"/>
        <family val="2"/>
      </rPr>
      <t xml:space="preserve">  เด็กมีพัฒนาการด้านอารมณ์และจิตใจสมวัย (น้ำหนัก ๕ คะแนน)</t>
    </r>
  </si>
  <si>
    <t>๒.๑ เด็กมีสุขภาพจิตสมวัย</t>
  </si>
  <si>
    <t>๒.๒ เด็กมีสุนทรียภาพสมวัย</t>
  </si>
  <si>
    <r>
      <t>ตัวบ่งชี้ที่ ๓</t>
    </r>
    <r>
      <rPr>
        <b/>
        <i/>
        <sz val="14"/>
        <color indexed="16"/>
        <rFont val="BrowalliaUPC"/>
        <family val="2"/>
      </rPr>
      <t xml:space="preserve">  เด็กมีพัฒนาการด้านสังคมสมวัย (๕ คะแนน)</t>
    </r>
  </si>
  <si>
    <t xml:space="preserve">๓.๑ เด็กมีวินัยและรู้ผิดชอบสมวัย </t>
  </si>
  <si>
    <t>๓.๒ เด็กสามารถปรับตัวเข้ากับสังคมได้</t>
  </si>
  <si>
    <r>
      <t>ตัวบ่งชี้ที่ ๔</t>
    </r>
    <r>
      <rPr>
        <b/>
        <i/>
        <sz val="14"/>
        <color indexed="16"/>
        <rFont val="BrowalliaUPC"/>
        <family val="2"/>
      </rPr>
      <t xml:space="preserve">  เด็กมีพัฒนาการด้านสติปัญญาสมวัย (๑๐ คะแนน)</t>
    </r>
  </si>
  <si>
    <t>๔.๑ เด็กมีความใฝ่รู้สมวัย</t>
  </si>
  <si>
    <t>๔.๒ เด็กมีการเรียนรู้ด้วยตนเองอย่างต่อเนื่องสมวัย</t>
  </si>
  <si>
    <t>๔.๓ เด็กมีทักษะในการสื่อสารสมวัย</t>
  </si>
  <si>
    <t>๔.๔ เด็กมีจินตนาการและความคิดสร้างสรรค์สมวัย</t>
  </si>
  <si>
    <r>
      <t>ตัวบ่งชี้ที่ ๕</t>
    </r>
    <r>
      <rPr>
        <b/>
        <i/>
        <sz val="14"/>
        <color indexed="16"/>
        <rFont val="BrowalliaUPC"/>
        <family val="2"/>
      </rPr>
      <t xml:space="preserve">  เด็กมีความพร้อมศึกษาต่อในขั้นต่อไป (๑๐ คะแนน)</t>
    </r>
  </si>
  <si>
    <t>๕.๑ เด็กมีทักษะพื้นฐานตามพัฒนาการทุกด้านสมวัย</t>
  </si>
  <si>
    <t>๕.๒ เด็กมีความรู้พื้นฐานสมวัย</t>
  </si>
  <si>
    <r>
      <t>ตัวบ่งชี้ที่ ๖</t>
    </r>
    <r>
      <rPr>
        <b/>
        <i/>
        <sz val="14"/>
        <color indexed="16"/>
        <rFont val="BrowalliaUPC"/>
        <family val="2"/>
      </rPr>
      <t xml:space="preserve">  ประสิทธิผลของการจัดประสบการณ์การเรียนรู้ที่เน้นเด็กเป็นสำคัญ (๓๕ คะแนน)</t>
    </r>
  </si>
  <si>
    <t>๖.๑ ครูหรือผู้เลี้ยงดูเด็กส่งเสริมการเรียนรู้เพื่อพัฒนาการด้านร่างกาย</t>
  </si>
  <si>
    <t>๖.๒ ครูหรือผู้เลี้ยงดูเด็กส่งเสริมการเรียนรู้เพื่อพัฒนาการด้านอารมณ์และจิตใจ</t>
  </si>
  <si>
    <t>๖.๓ ครูหรือผู้เลี้ยงดูเด็กส่งเสริมการเรียนรู้เพื่อพัฒนาการด้านสังคม</t>
  </si>
  <si>
    <t>๖.๔ ครูหรือผู้เลี้ยงดูเด็กส่งเสริมการเรียนรู้เพื่อพัฒนาการด้านสติปัญญา</t>
  </si>
  <si>
    <t>๖.๕ ครูหรือผู้เลี้ยงดูเด็กส่งเสริมความสัมพันธ์ทางบวกกับเด็กและครอบครัว</t>
  </si>
  <si>
    <t>๖.๖ ครูหรือผู้เลี้ยงดูเด็กส่งเสริมการเรียนรู้ที่ตอบสนองต่อธรรมชาติและพัฒนาการของเด็ก</t>
  </si>
  <si>
    <r>
      <t>ตัวบ่งชี้ที่ ๗</t>
    </r>
    <r>
      <rPr>
        <b/>
        <i/>
        <sz val="14"/>
        <color indexed="16"/>
        <rFont val="BrowalliaUPC"/>
        <family val="2"/>
      </rPr>
      <t xml:space="preserve">  ประสิทธิภาพของการบริหารจัดการและการพัฒนาสถานศึกษา (๑๕ คะแนน)</t>
    </r>
  </si>
  <si>
    <t>๗.๑ ประสิทธิภาพการบริหารจัดการของผู้บริหารสถานศึกษา</t>
  </si>
  <si>
    <t>๗.๒ ประสิทธิภาพของคณะกรรมการสถานศึกษา</t>
  </si>
  <si>
    <t>๗.๓ ประสิทธิภาพของสถานศึกษาในการจัดให้มีครูหรือผู้เลี้ยงดูเด็กเพียงพอและมีคุณภาพ</t>
  </si>
  <si>
    <t>๗.๔ ประสิทธิภาพของสถานศึกษาในการจัดสภาพแวดล้อมภายนอกอาคารให้เอื้อต่อการเรียนรู้ ปลอดภัยและถูกสุขลักษณะ</t>
  </si>
  <si>
    <t>๗.๕ ประสิทธิภาพของสถานศึกษาในการจัดสภาพแวดล้อมภายในอาคารให้เอื้อต่อการเรียนรู้ ปลอดภัยและถูกสุขลักษณะ</t>
  </si>
  <si>
    <t>๗.๖ ประสิทธิภาพของสถานศึกษาในการจัดให้มีมาตรการด้านความปลอดภัยและการป้องกันการบาดเจ็บในเด็ก</t>
  </si>
  <si>
    <r>
      <t>ตัวบ่งชี้ที่ ๘</t>
    </r>
    <r>
      <rPr>
        <b/>
        <i/>
        <sz val="14"/>
        <color indexed="16"/>
        <rFont val="BrowalliaUPC"/>
        <family val="2"/>
      </rPr>
      <t xml:space="preserve">  ประสิทธิผลของระบบการประกันคุณภาพภายใน  (๕ คะแนน)</t>
    </r>
  </si>
  <si>
    <t>สำหรับสถานศึกษาประเภทศูนย์พัฒนาเด็ก</t>
  </si>
  <si>
    <r>
      <t>ตัวบ่งชี้ที่ ๙</t>
    </r>
    <r>
      <rPr>
        <b/>
        <i/>
        <sz val="14"/>
        <color indexed="16"/>
        <rFont val="BrowalliaUPC"/>
        <family val="2"/>
      </rPr>
      <t xml:space="preserve">  ผลการพัฒนาให้บรรลุเป้าหมายตามปรัชญา ปณิธาน/วิสัยทัศน์  พันธกิจและวัตถุประสงค์ของการจัดตั้งสถานศึกษา (น้ำหนัก ๒.๕ คะแนน)</t>
    </r>
  </si>
  <si>
    <t xml:space="preserve">๙. ผลการพัฒนาให้บรรลุตามปรัชญา ปณิธาน/วิสัยทัศน์   พันธกิจ และวัตถุประสงค์ของการจัดตั้งสถานศึกษา
 </t>
  </si>
  <si>
    <r>
      <t>ตัวบ่งชี้ที่ ๑๐</t>
    </r>
    <r>
      <rPr>
        <b/>
        <i/>
        <sz val="14"/>
        <color indexed="16"/>
        <rFont val="BrowalliaUPC"/>
        <family val="2"/>
      </rPr>
      <t xml:space="preserve">  ผลการพัฒนาตามจุดเน้นและจุดเด่นที่ส่งผลสะท้อนเป็นเอกลักษณ์ของสถานศึกษา (น้ำหนัก ๒.๕ คะแนน)
</t>
    </r>
  </si>
  <si>
    <t>๑๐. ผลการพัฒนาตามจุดเน้นและจุดเด่นที่ส่งผลสะท้อน
เป็นเอกลักษณ์สถานศึกษา</t>
  </si>
  <si>
    <r>
      <t>ตัวบ่งชี้ที่ ๑๑</t>
    </r>
    <r>
      <rPr>
        <b/>
        <i/>
        <sz val="14"/>
        <color indexed="16"/>
        <rFont val="BrowalliaUPC"/>
        <family val="2"/>
      </rPr>
      <t xml:space="preserve">  ผลการดำเนินการโครงการพิเศษเพื่อส่งเสริมบทบาทของสถานศึกษา  (น้ำหนัก ๒.๕ คะแนน)</t>
    </r>
  </si>
  <si>
    <r>
      <t>ตัวบ่งชี้ที่ ๑๒</t>
    </r>
    <r>
      <rPr>
        <b/>
        <i/>
        <sz val="14"/>
        <color indexed="16"/>
        <rFont val="BrowalliaUPC"/>
        <family val="2"/>
      </rPr>
      <t xml:space="preserve">  </t>
    </r>
  </si>
  <si>
    <t>ผลการส่งเสริมพัฒนาสถานศึกษาเพื่อยกระดับมาตรฐาน  รักษามาตรฐานและพัฒนาสู่ความเป็นเลิศที่สอดคล้องกับ</t>
  </si>
  <si>
    <t>แนวทางการปฏิรูปการศึกษา (น้ำหนัก ๒.๕ คะแนน)</t>
  </si>
  <si>
    <r>
      <t>สรุปผลการประเมินคุณภาพภายนอกของสถานศึ</t>
    </r>
    <r>
      <rPr>
        <b/>
        <u val="single"/>
        <sz val="18"/>
        <color indexed="12"/>
        <rFont val="BrowalliaUPC"/>
        <family val="2"/>
      </rPr>
      <t>กษา รอบสาม</t>
    </r>
    <r>
      <rPr>
        <b/>
        <sz val="18"/>
        <color indexed="12"/>
        <rFont val="BrowalliaUPC"/>
        <family val="2"/>
      </rPr>
      <t xml:space="preserve"> (ระดับการศึกษาปฐมวัย)</t>
    </r>
  </si>
  <si>
    <t>การศึกษาขั้นพื้นฐาน : ระดับการศึกษาปฐมวัย</t>
  </si>
  <si>
    <t>ประสิทธิผลการจัดประสบการณ์การเรียนรู้ที่เน้นเด็กเป็นสำคัญ</t>
  </si>
  <si>
    <t>ผลการพัฒนาให้บรรลุตามปรัชญา ปณิธาน/วิสัยทัศน์ พันธกิจและวัตถุประสงค์ของการจัดตั้งสถานศึกษา</t>
  </si>
  <si>
    <t>ผลการส่งเสริมพัฒนาสถานศึกษาเพื่อยกระดับมาตรฐาน รักษามาตรฐานและพัฒนาสู่ความเป็นเลิศที่สอดคล้องกับแนวทางการปฏิรูปการศึกษา</t>
  </si>
  <si>
    <t>4) มีพื้นที่สำหรับจัดเป็นแหล่งเรียนรู้ภายนอกห้องเรียนให้แก่เด็ก</t>
  </si>
  <si>
    <t>5) มีการจัดสถานที่พักรอและมุมการเรียนรู้สำหรับผู้ปกครอง</t>
  </si>
  <si>
    <t>6) มีการจัดสถานที่สำหรับเก็บน้ำสะอาดเพื่อดื่มและใช้อย่างเพียงพอ</t>
  </si>
  <si>
    <t>7) มีการจัดพื้นที่เก็บสิ่งปฏิกูลที่เหมาะสม ถูกสุขลักษณะ เพียงพอและมีการกำจัดสิ่งปฏิกูลทุกวัน</t>
  </si>
  <si>
    <t>8) มีการจัดการดูแลสภาพแวดล้อมให้ถูกสุขลักษณะ เป็นระเบียบเรียบร้อย  สะอาด ปลอดภัย ร่มรื่น สวยงาม</t>
  </si>
  <si>
    <t>1) ตัวอาคารมั่นคง แข็งแรงและปลอดภัย ประตู หน้าต่างอยู่ในสภาพดี  สามารถเข้าออกได้หลายทาง ปลั๊กไฟติดตั้งอยู่สูงจากพื้นมากกว่า 1.5 เมตรและมีฝาปิดป้องกันเด็กเล่น</t>
  </si>
  <si>
    <t>2) พื้นที่ในห้องเรียนแบ่งเป็นสัดส่วนสำหรับการทำกิจกรรมได้หลากหลายรูปแบบ มีพื้นที่ว่างสำหรับการนั่งทำงานที่พื้นห้องและมีพื้นที่สำหรับเก็บอุปกรณ์ของครูหรือผู้เลี้ยงดูเด็กและของเด็ก</t>
  </si>
  <si>
    <t xml:space="preserve">3) มีพื้นที่ห้องสำหรับจัดกิจกรรมเพื่อเด็กเหมาะสมกับจำนวนเด็ก คือ มีพื้นที่ไม่น้อยกว่า 2.00 ตารางเมตร ต่อเด็ก 1 คน </t>
  </si>
  <si>
    <t>4) ภายในห้องเรียนมีแสงสว่างเพียงพอและอากาศถ่ายเทได้ดี</t>
  </si>
  <si>
    <t>5) โต๊ะ เก้าอี้ ของเล่นและของใช้ มีขนาดเหมาะสม จำนวนเพียงพอ สะอาดและปลอดภัยสำหรับเด็ก</t>
  </si>
  <si>
    <t>6) มีการจัดที่พักสำหรับเด็กป่วยแยกเป็นสัดส่วน</t>
  </si>
  <si>
    <t>7) มีสถานที่สำหรับการจัดเตรียมเครื่องดื่ม ของว่างและอาหารที่ถูกต้องตามหลักโภชนาการ  รวมถึงสถานที่ทำความสะอาดภาชนะ และจัดเก็บภาชนะที่สะอาด ปลอดภัยและถูกสุขลักษณะ</t>
  </si>
  <si>
    <t>8) มีพื้นที่สำหรับใช้ในการแปรงฟัน ล้างมือ และทำความสะอาดร่างกายเด็ก พร้อมอุปกรณ์ทำความสะอาดที่จำเป็นและเหมาะสมกับเด็ก</t>
  </si>
  <si>
    <t>9) มีน้ำสะอาดสำหรับบริโภค เด็กมีแก้วน้ำส่วนตัว และมีการล้างและจัดเก็บที่ถูกสุขลักษณะ</t>
  </si>
  <si>
    <t>10) มีการติดตั้งเครื่องตัดไฟและอุปกรณ์ดับเพลิงที่พร้อมใช้งาน สายยางหรืออุปกรณ์อื่นใดที่สามารถใช้ในการดับไฟและมีช่องทางฉุกเฉินที่สามารถพาเด็กออกนอกศูนย์พัฒนาเด็กได้อย่างปลอดภัย</t>
  </si>
  <si>
    <t>11) มีห้องส้วมที่ถูกสุขลักษณะ เหมาะสมกับวัย สะอาด ปลอดภัยและเพียงพอกับการใช้งานของเด็ก มีน้ำสำหรับชำระล้าง  มีแสงสว่างและการระบายอากาศที่ดี</t>
  </si>
  <si>
    <t>12) มีถังขยะที่สะอาด มีฝาปิดมิดชิด อยู่ในสภาพใช้งานได้ดีและมีการจัดเก็บออกจากตัวอาคารทุกวัน เพื่อนำไปกำจัดอย่างถูกวิธี</t>
  </si>
  <si>
    <t>ประสิทธิภาพของสถานศึกษาในการจัดให้มีมาตรการด้านความปลอดภัยและการป้องกันการบาดเจ็บในเด็ก</t>
  </si>
  <si>
    <t>1) มีการกำหนดนโยบายเรื่องความปลอดภัยในการดูแลเด็กเพื่อให้ครูหรือผู้เลี้ยงดูเด็กและผู้ปกครองเด็กปฏิบัติตาม</t>
  </si>
  <si>
    <t>2) มีการอบรมบุคลากรและครูหรือผู้เลี้ยงดูเด็กเพื่อเพิ่มพูนความรู้และทักษะในการจัดการความปลอดภัยในเด็กเป็นประจำทุกปี</t>
  </si>
  <si>
    <t>3) มีการประสานความร่วมมือระหว่างสถานศึกษากับสถาบันองค์กรทั้งภาครัฐ ภาคเอกชน และหน่วยงานต่างๆในเรื่องการป้องกันด้านความปลอดภัยและการบาดเจ็บในเด็ก</t>
  </si>
  <si>
    <t>4) มีระบบเฝ้าระวังและวิเคราะห์ความเสี่ยง</t>
  </si>
  <si>
    <t>5) มีกิจกรรมเพื่อการแก้ปัญหาและป้องกันความปลอดภัยที่ครอบคลุมทั้ง 6 ด้านอย่างต่อเนื่อง</t>
  </si>
  <si>
    <t>ประสิทธิผลของระบบการประกันคุณภาพภายใน</t>
  </si>
  <si>
    <t>สพฐ.</t>
  </si>
  <si>
    <t>สพฐ. (โรงเรียนการศึกษาเพื่อคนพิการ)</t>
  </si>
  <si>
    <t>สพฐ. (โรงเรียนศึกษาสงเคราะห์)</t>
  </si>
  <si>
    <t>สช.</t>
  </si>
  <si>
    <t>สช. (การศึกษาเพื่อคนพิการ)</t>
  </si>
  <si>
    <t>สช. (โรงเรียนนานาชาติ)</t>
  </si>
  <si>
    <t>สช. (โรงเรียนอิสลาม)</t>
  </si>
  <si>
    <t>สช. (โรงเรียนเอกชนที่ใช้ภาษาอังกฤษเป็นสื่อการสอน)</t>
  </si>
  <si>
    <t>สช. (ศึกษาสงเคราะห์)</t>
  </si>
  <si>
    <t>สำนักการศึกษากรุงเทพมหานคร</t>
  </si>
  <si>
    <t>สำนักการศึกษาส่วนท้องถิ่น</t>
  </si>
  <si>
    <t>กรมพลศึกษา</t>
  </si>
  <si>
    <t>กรมยุทธศึกษาทหาร กองบัญชาการทหารสูงสุด</t>
  </si>
  <si>
    <t>กองกำกับการตำรวจตระเวนชายแดน</t>
  </si>
  <si>
    <t>กองพุทธศาสนศึกษา สำนักงานพระพุทธศาสนาแห่งชาติ</t>
  </si>
  <si>
    <t>โรงเรียนสาธิตมหาวิทยาลัย</t>
  </si>
  <si>
    <t>ข้อมูลทั่วไปสถานศึกษาที่ประเมิน</t>
  </si>
  <si>
    <t>เงินงบประมาณที่ใช้</t>
  </si>
  <si>
    <t>เงินงบประมาณ :</t>
  </si>
  <si>
    <t>เงินนอกงบประมาณ :</t>
  </si>
  <si>
    <t>งบประมาณอื่น ๆ :</t>
  </si>
  <si>
    <t>รวมเงินงบประมาณที่ใช้ทั้งหมด :</t>
  </si>
  <si>
    <t>ร้อยละของงบเงินเดือนต่องบประมาณที่ได้รับ :</t>
  </si>
  <si>
    <t>ร้อยละของรายจ่ายต่อรายรับโดยเฉลี่ย :</t>
  </si>
  <si>
    <t>วันที่เข้าประเมิน</t>
  </si>
  <si>
    <t>รูปแบบการป้อนข้อมูลวันที่ เครื่องคอมฯ ของท่าน คือ</t>
  </si>
  <si>
    <t>วันที่ 1 :</t>
  </si>
  <si>
    <t>วันที่ 2 :</t>
  </si>
  <si>
    <t>วันที่ 3 :</t>
  </si>
  <si>
    <t>รายชื่อคณะผู้ประเมิน (ชื่อคนที่ 1 เป็นหัวหน้าคณะผู้ประเมิน)</t>
  </si>
  <si>
    <t>คำนำหน้าชื่อ</t>
  </si>
  <si>
    <t>ชื่อ</t>
  </si>
  <si>
    <t>นามสกุล</t>
  </si>
  <si>
    <t>รหัสบัตรประจำตัวประชาชน 13 หลัก</t>
  </si>
  <si>
    <t>คนที่ 1 :</t>
  </si>
  <si>
    <t>คนที่ 2 :</t>
  </si>
  <si>
    <t>คนที่ 3 :</t>
  </si>
  <si>
    <t>คนที่ 4 :</t>
  </si>
  <si>
    <t>คนที่ 5 :</t>
  </si>
  <si>
    <t>คนที่ 6 :</t>
  </si>
  <si>
    <t>คนที่ 7 :</t>
  </si>
  <si>
    <t>ชื่อผู้ประเมินอภิมานภายใน :</t>
  </si>
  <si>
    <t>ชื่อผู้ประเมินอภิมานภายนอก :</t>
  </si>
  <si>
    <t>นาย</t>
  </si>
  <si>
    <t>นาง</t>
  </si>
  <si>
    <t>นางสาว</t>
  </si>
  <si>
    <t>ดร.</t>
  </si>
  <si>
    <t>ผศ.</t>
  </si>
  <si>
    <t>ผศ.ดร.</t>
  </si>
  <si>
    <t>รศ.</t>
  </si>
  <si>
    <t>รศ.ดร.</t>
  </si>
  <si>
    <t>อาจารย์</t>
  </si>
  <si>
    <r>
      <t xml:space="preserve">(ป้อนที่อยู่โรงเรียน จนถึงตำบล </t>
    </r>
    <r>
      <rPr>
        <b/>
        <i/>
        <u val="single"/>
        <sz val="14"/>
        <color indexed="16"/>
        <rFont val="BrowalliaUPC"/>
        <family val="2"/>
      </rPr>
      <t>หากมีเว้นวรรค เว้น 1 เคาะ</t>
    </r>
    <r>
      <rPr>
        <b/>
        <i/>
        <sz val="14"/>
        <color indexed="16"/>
        <rFont val="BrowalliaUPC"/>
        <family val="2"/>
      </rPr>
      <t>)</t>
    </r>
  </si>
  <si>
    <r>
      <t>ภาระงานสอนของครูโดยเฉลี่ย</t>
    </r>
    <r>
      <rPr>
        <b/>
        <sz val="14"/>
        <color indexed="12"/>
        <rFont val="BrowalliaUPC"/>
        <family val="2"/>
      </rPr>
      <t xml:space="preserve"> (ชม./สัปดาห์)</t>
    </r>
  </si>
  <si>
    <t xml:space="preserve">รหัสโรงเรียน : </t>
  </si>
  <si>
    <t xml:space="preserve">ชื่อโรงเรียน : </t>
  </si>
  <si>
    <t>เด็กมีพัฒนาการด้านร่างกายสมวัย</t>
  </si>
  <si>
    <t>เด็กมีสุขภาพกายสมวัย</t>
  </si>
  <si>
    <t>(รหัสและชื่อโรงเรียนต้องป้อนจาก Sheet "EntryData-ข้อมูล1")</t>
  </si>
  <si>
    <t>ผู้เรียนมีสุขภาพกายและสุขภาพจิตที่ดี</t>
  </si>
  <si>
    <t>น้ำหนัก</t>
  </si>
  <si>
    <t>เชิงคุณภาพ</t>
  </si>
  <si>
    <t>สถานศึกษามีการดำเนินการอย่างมีคุณภาพ 1 ข้อ</t>
  </si>
  <si>
    <t xml:space="preserve">ประสิทธิผลการดำเนินการของสถานศึกษา </t>
  </si>
  <si>
    <t>กระบวนการจัดการเรียนรู้ของครู</t>
  </si>
  <si>
    <t>7 (ข้อ 1)</t>
  </si>
  <si>
    <t>ประสิทธิภาพการบริหารจัดการตามบทบาท หน้าที่ของผู้บริหารสถานศึกษา</t>
  </si>
  <si>
    <t>7 (ข้อ 2)</t>
  </si>
  <si>
    <t>ประสิทธิภาพของคณะกรรมการสถานศึกษาขั้นพื้นฐาน</t>
  </si>
  <si>
    <t>ดำเนินการได้ 8-9 ข้อ</t>
  </si>
  <si>
    <t>ดำเนินการได้ 10-11 ข้อ</t>
  </si>
  <si>
    <t>ดำเนินการได้ 12-13 ข้อ</t>
  </si>
  <si>
    <t>ดำเนินการได้ครบถ้วน 14 ข้อ</t>
  </si>
  <si>
    <t>7 (ข้อ 3)</t>
  </si>
  <si>
    <t>บรรยากาศและสภาพแวดล้อมของสถานศึกษา</t>
  </si>
  <si>
    <t>พัฒนาการ</t>
  </si>
  <si>
    <t>ผลการพัฒนาตามจุดเน้นและจุดเด่นที่ส่งผลสะท้อนเป็นเอกลักษณ์ของสถานศึกษา</t>
  </si>
  <si>
    <t xml:space="preserve">ผลการส่งเสริมพัฒนาสถานศึกษาเพื่อยกระดับมาตรฐาน รักษามาตรฐานและพัฒนาสู่ความเป็นเลิศ เพื่อให้สอดคล้องกับแนวทางการปฏิรูปการศึกษา
</t>
  </si>
  <si>
    <t>ปฏิบัติได้อย่างมีคุณภาพ 0 ข้อ</t>
  </si>
  <si>
    <t>ปฏิบัติได้ 0 ข้อ</t>
  </si>
  <si>
    <t>ปฏิบัติได้อย่างมีคุณภาพ 1 ข้อ</t>
  </si>
  <si>
    <t>ปฏิบัติได้ 1 ข้อ</t>
  </si>
  <si>
    <t>สถานศึกษามีการดำเนินการอย่างมีคุณภาพ 2 ข้อ</t>
  </si>
  <si>
    <t>ปฏิบัติได้อย่างมีคุณภาพ 2 ข้อ</t>
  </si>
  <si>
    <t>ปฏิบัติได้ 2 ข้อ</t>
  </si>
  <si>
    <t>สถานศึกษามีการดำเนินการอย่างมีคุณภาพ 3 ข้อ</t>
  </si>
  <si>
    <t>ปฏิบัติได้อย่างมีคุณภาพ 3 ข้อ</t>
  </si>
  <si>
    <t>ปฏิบัติได้ 3 ข้อ</t>
  </si>
  <si>
    <t>สถานศึกษามีการดำเนินการอย่างมีคุณภาพ 4 ข้อ</t>
  </si>
  <si>
    <t>ปฏิบัติได้อย่างมีคุณภาพ 4 ข้อ</t>
  </si>
  <si>
    <t>ปฏิบัติได้ 4 ข้อ</t>
  </si>
  <si>
    <t>สถานศึกษามีการดำเนินการอย่างมีคุณภาพ 5 ข้อ</t>
  </si>
  <si>
    <t>ปฏิบัติได้อย่างมีคุณภาพ 5 ข้อ</t>
  </si>
  <si>
    <t>ปฏิบัติได้ 5 ข้อ</t>
  </si>
  <si>
    <t>ตั้งแต่ร้อยละ 50 - 74 ของปัญหาที่สถานศึกษานำไปแก้ไข มีผลการเปลี่ยนแปลงที่ดีขึ้น</t>
  </si>
  <si>
    <t>ตั้งแต่ร้อยละ 75 ขึ้นไป ของปัญหาที่สถานศึกษานำไปแก้ไข มีผลการเปลี่ยนแปลงที่ดีขึ้น</t>
  </si>
  <si>
    <t>ครูต่ำกว่าร้อยละ 50 ที่มีคุณลักษณะครบตามเกณฑ์พิจารณาทั้ง 8 ข้อ</t>
  </si>
  <si>
    <t>ครูตั้งแต่ร้อยละ 60 - 74 ที่มีคุณลักษณะครบตามเกณฑ์พิจารณาทั้ง 8 ข้อ</t>
  </si>
  <si>
    <t>ดำเนินการได้ ต่ำกว่า 8 ข้อ</t>
  </si>
  <si>
    <t>ครูตั้งแต่ร้อยละ 50 - 59 ที่มีคุณลักษณะครบตามเกณฑ์พิจารณาทั้ง 8 ข้อ</t>
  </si>
  <si>
    <t>ครูตั้งแต่ร้อยละ 75 - 89 ที่มีคุณลักษณะครบตามเกณฑ์พิจารณาทั้ง 8 ข้อ</t>
  </si>
  <si>
    <t>ครูตั้งแต่ร้อยละ 90 ขึ้นไป ที่มีคุณลักษณะครบตามเกณฑ์พิจารณาทั้ง 8 ข้อ</t>
  </si>
  <si>
    <t>จำแนกตามกลุ่มตัวบ่งชี้</t>
  </si>
  <si>
    <t>จำแนกตามมาตรฐานการศึกษาตามกฏกระทรวงฯ</t>
  </si>
  <si>
    <t>ตัวบ่งชี้ย่อย</t>
  </si>
  <si>
    <t>คะแนน</t>
  </si>
  <si>
    <t>ที่ได้</t>
  </si>
  <si>
    <t>ต้องปรับปรุงเร่งด่วน</t>
  </si>
  <si>
    <t>ต้องปรับปรุง</t>
  </si>
  <si>
    <t>คะแนนพัฒนาการ</t>
  </si>
  <si>
    <t>คะแนนเต็มเชิงปริมาณ</t>
  </si>
  <si>
    <t>คะแนนเต็มเชิงพัฒนาการ</t>
  </si>
  <si>
    <t>คะแนนรวม</t>
  </si>
  <si>
    <t>ระดับคุณภาพ</t>
  </si>
  <si>
    <t>คะแนนขั้นที่ 1</t>
  </si>
  <si>
    <t>คะแนนขั้นที่ 2</t>
  </si>
  <si>
    <t>คะแนนขั้นที่ 3</t>
  </si>
  <si>
    <t>คะแนนขั้นที่ 4</t>
  </si>
  <si>
    <t>คะแนนขั้นที่ 5</t>
  </si>
  <si>
    <r>
      <t>แบบที่ 1</t>
    </r>
    <r>
      <rPr>
        <b/>
        <sz val="14"/>
        <color indexed="8"/>
        <rFont val="Browallia New"/>
        <family val="2"/>
      </rPr>
      <t xml:space="preserve"> (เทียบปีที่ผ่านมา)</t>
    </r>
  </si>
  <si>
    <t>แบบที่ 2</t>
  </si>
  <si>
    <t>จำนวนข้อที่ผ่านเกณฑ์</t>
  </si>
  <si>
    <t>ร้อยละของผู้เรียนที่เข้าร่วมกิจกรรมทั้งในและนอกหลักสูตร ด้านศิลปะ ดนตรี/นาฏศิลป์ วรรณศิลป์หรือนันทนาการ</t>
  </si>
  <si>
    <t>ผู้เรียนเป็นนักเรียนที่ดีของโรงเรียน</t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</si>
  <si>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 xml:space="preserve">คณิตศาสตร์ </t>
    </r>
    <r>
      <rPr>
        <sz val="14"/>
        <color indexed="8"/>
        <rFont val="Browallia New"/>
        <family val="2"/>
      </rPr>
      <t>ในระดับชั้น ป.6 ม.3 และ ม.6</t>
    </r>
  </si>
  <si>
    <t>ร้อยละของผู้เรียนที่มีผลการทดสอบระดับชาติ  กลุ่มสาระการเรียนรู้คณิตศาสตร์ ระดับดี ในระดับชั้น ป.6</t>
  </si>
  <si>
    <t>ร้อยละของผู้เรียนที่มีผลการทดสอบระดับชาติ กลุ่มสาระการเรียนรู้คณิตศาสตร์ ระดับดี ในระดับชั้น ม.3</t>
  </si>
  <si>
    <t>ร้อยละของผู้เรียนที่มีผลการทดสอบระดับชาติ กลุ่มสาระการเรียนรู้คณิตศาสตร์ ระดับดี ในระดับชั้น ม.6</t>
  </si>
  <si>
    <t>ร้อยละของผู้เรียนที่มีผลการทดสอบระดับชาติ  กลุ่มสาระการเรียนรู้ภาษาไทย ระดับดี ในระดับชั้น ป.6</t>
  </si>
  <si>
    <t>ร้อยละของผู้เรียนที่มีผลการทดสอบระดับชาติ กลุ่มสาระการเรียนรู้ภาษาไทย ระดับดี ในระดับชั้น ม.3</t>
  </si>
  <si>
    <t>ร้อยละของผู้เรียนที่มีผลการทดสอบระดับชาติ กลุ่มสาระการเรียนรู้ภาษาไทย ระดับดี ในระดับชั้น ม.6</t>
  </si>
  <si>
    <t>ร้อยละของผู้เรียนที่มีผลการทดสอบระดับชาติ  กลุ่มสาระการเรียนรู้วิทยาศาสตร์ ระดับดี ในระดับชั้น ป.6</t>
  </si>
  <si>
    <t>ร้อยละของผู้เรียนที่มีผลการทดสอบระดับชาติ กลุ่มสาระการเรียนรู้วิทยาศาสตร์ ระดับดี ในระดับชั้น ม.3</t>
  </si>
  <si>
    <t>ร้อยละของผู้เรียนที่มีผลการทดสอบระดับชาติ กลุ่มสาระการเรียนรู้วิทยาศาสตร์ ระดับดี ในระดับชั้น ม.6</t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</si>
  <si>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 xml:space="preserve">วิทยาศาสตร์ </t>
    </r>
    <r>
      <rPr>
        <sz val="14"/>
        <color indexed="8"/>
        <rFont val="Browallia New"/>
        <family val="2"/>
      </rPr>
      <t>ในระดับชั้น ป.6 ม.3 และ ม.6</t>
    </r>
  </si>
  <si>
    <t>ร้อยละของผู้เรียนที่มีผลการทดสอบระดับชาติ  กลุ่มสาระการเรียนรู้สังคมศึกษา ศาสนาและวัฒนธรรม ระดับดี ในระดับชั้น ป.6</t>
  </si>
  <si>
    <t>ร้อยละของผู้เรียนที่มีผลการทดสอบระดับชาติ กลุ่มสาระการเรียนรู้สังคมศึกษา ศาสนาและวัฒนธรรม ระดับดี ในระดับชั้น ม.3</t>
  </si>
  <si>
    <t>ร้อยละของผู้เรียนที่มีผลการทดสอบระดับชาติ กลุ่มสาระการเรียนรู้สังคมศึกษา ศาสนาและวัฒนธรรม ระดับดี ในระดับชั้น ม.6</t>
  </si>
  <si>
    <t>ร้อยละของผู้เรียนที่มีผลการทดสอบระดับชาติ  กลุ่มสาระการเรียนรู้สุขศึกษาและพลศึกษา ระดับดี ในระดับชั้น ป.6</t>
  </si>
  <si>
    <t>ร้อยละของผู้เรียนที่มีผลการทดสอบระดับชาติ กลุ่มสาระการเรียนรู้สุขศึกษาและพลศึกษา ระดับดี ในระดับชั้น ม.3</t>
  </si>
  <si>
    <r>
      <t>การเรียงลำดับตัวบ่งชี้ที่มีคุณภาพระดับดีขึ้นไป/ต่ำกว่าระดับดีตามมาตรฐานคุณภาพ สมศ</t>
    </r>
    <r>
      <rPr>
        <b/>
        <i/>
        <sz val="14"/>
        <color indexed="16"/>
        <rFont val="BrowalliaUPC"/>
        <family val="2"/>
      </rPr>
      <t>. (ระดับปฐมวัย)</t>
    </r>
  </si>
  <si>
    <t>ร้อยละของผู้เรียนที่มีผลการทดสอบระดับชาติ กลุ่มสาระการเรียนรู้สุขศึกษาและพลศึกษา ระดับดี ในระดับชั้น ม.6</t>
  </si>
  <si>
    <t>ร้อยละของผู้เรียนที่มีผลการทดสอบระดับชาติ  กลุ่มสาระการเรียนรู้ศิลปะ ระดับดี ในระดับชั้น ป.6</t>
  </si>
  <si>
    <t>ร้อยละของผู้เรียนที่มีผลการทดสอบระดับชาติ กลุ่มสาระการเรียนรู้ศิลปะ ระดับดี ในระดับชั้น ม.3</t>
  </si>
  <si>
    <t>ร้อยละของผู้เรียนที่มีผลการทดสอบระดับชาติ กลุ่มสาระการเรียนรู้ศิลปะ ระดับดี ในระดับชั้น ม.6</t>
  </si>
  <si>
    <t>ร้อยละของผู้เรียนที่มีผลการทดสอบระดับชาติ  กลุ่มสาระการเรียนรู้การงานอาชีพและเทคโนโลยี ระดับดี ในระดับชั้น ป.6</t>
  </si>
  <si>
    <t>ร้อยละของผู้เรียนที่มีผลการทดสอบระดับชาติ กลุ่มสาระการเรียนรู้การงานอาชีพและเทคโนโลยี ระดับดี ในระดับชั้น ม.3</t>
  </si>
  <si>
    <t>ร้อยละของผู้เรียนที่มีผลการทดสอบระดับชาติ กลุ่มสาระการเรียนรู้การงานอาชีพและเทคโนโลยี ระดับดี ในระดับชั้น ม.6</t>
  </si>
  <si>
    <t>ร้อยละของผู้เรียนที่มีผลการทดสอบระดับชาติ  กลุ่มสาระการเรียนรู้ภาษาต่างประเทศ ระดับดี ในระดับชั้น ป.6</t>
  </si>
  <si>
    <t>ร้อยละของผู้เรียนที่มีผลการทดสอบระดับชาติ กลุ่มสาระการเรียนรู้ภาษาต่างประเทศ ระดับดี ในระดับชั้น ม.3</t>
  </si>
  <si>
    <t>ร้อยละของผู้เรียนที่มีผลการทดสอบระดับชาติ กลุ่มสาระการเรียนรู้ภาษาต่างประเทศ ระดับดี ในระดับชั้น ม.6</t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</si>
  <si>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ภาษาต่างประเทศ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</si>
  <si>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t>2. คณะกรรมการสถานศึกษาขั้นพื้นฐานกำหนดเอกลักษณ์ นโยบายและแผนพัฒนาของสถานศึกษา</t>
  </si>
  <si>
    <t>12. คณะกรรมการสถานศึกษาขั้นพื้นฐานแต่งตั้งที่ปรึกษาและ/หรือคณะอนุกรรมการเพื่อดำเนินงานตามระเบียบ</t>
  </si>
  <si>
    <t>3. คณะกรรมการสถานศึกษาขั้นพื้นฐานให้ความเห็นชอบแผนปฏิบัติการประจำปีของสถานศึกษา</t>
  </si>
  <si>
    <t>4. คณะกรรมการสถานศึกษาขั้นพื้นฐานให้ความเห็นชอบในการจัดทำสาระหลักสูตรให้สอดคล้องกับความต้องการของท้องถิ่น</t>
  </si>
  <si>
    <t>5. คณะกรรมการสถานศึกษาขั้นพื้นฐานกำกับและติดตามการดำเนินงานตามแผนของสถานศึกษา</t>
  </si>
  <si>
    <t>13. คณะกรรมการสถานศึกษาขั้นพื้นฐานอย่างน้อยภาคเรียนละ2 ครั้ง และให้ผู้บริหารสถานศึกษารายงานผลการประชุมต่อผู้บังคับบัญชาเหนือขึ้นไปชั้นหนึ่งภายใน15 วัน นับแต่วันที่มีการประชุม</t>
  </si>
  <si>
    <t>6. คณะกรรมการสถานศึกษาขั้นพื้นฐานส่งเสริมและสนับสนุนให้เด็กทุกคนในเขตบริการได้รับการศึกษาขั้นพื้นฐานอย่างทั่วถึงและมีคุณภาพและได้มาตรฐาน</t>
  </si>
  <si>
    <t>7. คณะกรรมการสถานศึกษาขั้นพื้นฐานส่งเสริมให้มีการพิทักษ์สิทธิเด็ก ดูแลเด็กพิการเด็กด้อยโอกาส และเด็กที่มีความสามารถพิเศษให้ได้รับการพัฒนาเต็มตามศักยภาพ</t>
  </si>
  <si>
    <t>14. คณะกรรมการสถานศึกษาขั้นพื้นฐานไม่ต่ำกว่าร้อยละ 75 รับทราบและพึงพอใจต่อผลการดำเนินงานของสถานศึกษา</t>
  </si>
  <si>
    <t xml:space="preserve">สถานศึกษามีผลคะแนนรวมทุกตัวบ่งชี้ ตั้งแต่ ๘๐ คะแนนขึ้นไป :  </t>
  </si>
  <si>
    <t xml:space="preserve">สถานศึกษามีตัวบ่งชี้ที่ได้ระดับดีขึ้นไป ๑๐ ตัวบ่งชี้ จากทั้งหมด ๑๒ ตัวบ่งชี้ :  </t>
  </si>
  <si>
    <t xml:space="preserve">สถานศึกษาไม่มีตัวบ่งชี้ใดที่มีระดับคุณภาพต้องปรับปรุงหรือต้องปรับปรุงเร่งด่วน :  </t>
  </si>
  <si>
    <t>สมควรรับรองมาตรฐานการศึกษา</t>
  </si>
  <si>
    <t>ไม่สมควรรับรองมาตรฐานการศึกษา</t>
  </si>
  <si>
    <t>Auto-calculate</t>
  </si>
  <si>
    <t>ไปที่เมนู Developer -&gt; Macro Security -&gt; Macro Setting -&gt; เลือก "Enable all macros" -&gt; กดปุ่ม OK -&gt; Save ไฟล์ -&gt; ออกจาก MS.Excel แล้วเข้าโปรแกรมอีกครั้ง)</t>
  </si>
  <si>
    <r>
      <t>หมายเหตุ</t>
    </r>
    <r>
      <rPr>
        <i/>
        <sz val="14"/>
        <color indexed="8"/>
        <rFont val="BrowalliaUPC"/>
        <family val="2"/>
      </rPr>
      <t xml:space="preserve"> สำหรับ MS.Excel 2007 กรณีไม่พบเมนู Developer ไปที่ปุ่มบนซ้าย -&gt; Excel Option -&gt; Popular -&gt; เลือก "Show Developer tab in the ribbon" -&gt; กดปุ่ม OK</t>
    </r>
  </si>
  <si>
    <t>#ตบช. ต่ำกว่าดี :</t>
  </si>
  <si>
    <t>#ตบช. ดีขึ้นไป :</t>
  </si>
  <si>
    <t>ค่าสเกล (ต้องปรับปรุงเร่งด่วน=5, ต้องปรับปรุง=4, พอใช้=3, ดี=2, ดีมาก=1)</t>
  </si>
  <si>
    <t>8. คณะกรรมการสถานศึกษาขั้นพื้นฐานเสนอแนวทางและมีส่วนร่วมในการบริหารจัดการด้านวิชาการ ด้านงบประมาณ ด้านการบริหารงานบุคคล และด้านการบริหารทั่วไปของสถานศึกษา</t>
  </si>
  <si>
    <t>9. คณะกรรมการสถานศึกษาขั้นพื้นฐานส่งเสริมให้มีการระดมทรัพยากรเพื่อการศึกษา ตลอดจนวิทยากรภายนอกและภูมิปัญญาท้องถิ่น เพื่อเสริมสร้างพัฒนาการของนักเรียนทุกด้าน รวมทั้งสืบสานจารีตประเพณี ศิลปวัฒนธรรมท้องถิ่นและชาติ</t>
  </si>
  <si>
    <t>10. คณะกรรมการสถานศึกษาขั้นพื้นฐานเสริมสร้างความสัมพันธ์ระหว่างสถานศึกษากับชุมชน ตลอดจนประสานงานกับองค์กรทั้งภาครัฐและเอกชน เพื่อให้สถานศึกษาเป็นแหล่งวิทยาการของชุมชน และมีส่วนร่วมในการพัฒนาชุมชนและท้องถิ่น</t>
  </si>
  <si>
    <t>ตัวบ่งชี้ที่ 10</t>
  </si>
  <si>
    <t>ผลการพัฒนาตามจุดเน้นและจุดเด่นที่ส่งผลสะท้อนเป็นเอกลักษณ์สถานศึกษา</t>
  </si>
  <si>
    <t>ตัวบ่งชี้ที่ 11</t>
  </si>
  <si>
    <t>เชื่อมโยงข้อมูลจาก Sheet "EntryDataข้อมูล1"</t>
  </si>
  <si>
    <t>ระดับการศึกษาปฐมวัย</t>
  </si>
  <si>
    <t>ระดับประถม และ/หรือมัธยมศึกษา</t>
  </si>
  <si>
    <t xml:space="preserve">ผลการดำเนินงานโครงการพิเศษเพื่อส่งเสริมบทบาทของสถานศึกษา </t>
  </si>
  <si>
    <t>ตัวบ่งชี้ที่ 12</t>
  </si>
  <si>
    <t>ผลการส่งเสริมพัฒนาสถานศึกษาเพื่อยกระดับมาตรฐาน  รักษามาตรฐานและพัฒนาสู่ความเป็นเลิศที่สอดคล้องกับแนวทางการปฏิรูปการศึกษา</t>
  </si>
  <si>
    <t>ผลการพิจารณา</t>
  </si>
  <si>
    <t>ข้อมูล 3 ปีย้อนหลัง คือ ปีการศึกษา…</t>
  </si>
  <si>
    <t>การพัฒนาการ</t>
  </si>
  <si>
    <t>(ป้อนปีล่าสุดไว้ที่ช่องซ้ายสุด)</t>
  </si>
  <si>
    <t>ค่าเฉลี่ยร้อยละของปีล่าสุดอยู่ในระดับดีมาก (&gt;=90%)</t>
  </si>
  <si>
    <t>ค่าเฉลี่ยร้อยละของปีล่าสุดสูงกว่าปีที่ผ่านมา</t>
  </si>
  <si>
    <t xml:space="preserve">ผู้เรียนมีสุขภาพกายและสุขภาพจิตที่ดี </t>
  </si>
  <si>
    <t>ผู้เรียนมีน้ำหนัก ส่วนสูง และสมรรถภาพทางกายตามเกณฑ์ รวมทั้งรู้จักดูแลตนเองให้มีความปลอดภัย</t>
  </si>
  <si>
    <t xml:space="preserve">1.1.1  ร้อยละของผู้เรียนที่มีน้ำหนัก ส่วนสูง สมรรถภาพทางกาย
ตามเกณฑ์ 
</t>
  </si>
  <si>
    <t>1.1.2  ร้อยละของผู้เรียนที่ปลอดจากปัญหาทางเพศ ยาเสพติดและสิ่งมอมเมา เช่น สุรา บุหรี่ เครื่องดื่มแอลกอฮอลล์ เกม เป็นต้น</t>
  </si>
  <si>
    <t xml:space="preserve">ผู้เรียนมีสุนทรียภาพ </t>
  </si>
  <si>
    <t>ผู้เรียนมีคุณธรรม จริยธรรมและค่านิยมที่พึงประสงค์</t>
  </si>
  <si>
    <t>2.2.2  ร้อยละของผู้เรียนที่ไม่มีปัญหาด้านการปกครอง</t>
  </si>
  <si>
    <t>ผู้เรียนมีการบำเพ็ญประโยชน์ต่อสังคม</t>
  </si>
  <si>
    <t>2.3.1  ร้อยละของผู้เรียนที่ทำกิจกรรมบำเพ็ญประโยชน์ต่อสังคมในสถานศึกษาโดยผ่านกระบวนการคิด วางแผน กำหนดกิจกรรม และดำเนินการโดยสถานศึกษาหรือผู้เรียนอย่างต่อเนื่อง</t>
  </si>
  <si>
    <t>2.3.2  ร้อยละของผู้เรียนที่ทำกิจกรรมบำเพ็ญประโยชน์ต่อสังคมนอกสถานศึกษาโดยผ่านกระบวนการคิด วางแผน กำหนดกิจกรรม และดำเนินการโดยสถานศึกษาหรือผู้เรียนอย่างต่อเนื่อง</t>
  </si>
  <si>
    <t>ผู้เรียนมีความใฝ่รู้ และเรียนรู้อย่างต่อเนื่อง</t>
  </si>
  <si>
    <t>ผู้เรียนค้นคว้าหาความรู้จากการอ่านและใช้เทคโนโลยีสารสนเทศ</t>
  </si>
  <si>
    <t xml:space="preserve">ผู้เรียนเรียนรู้ผ่านประสบการณ์ตรงร่วมกับผู้อื่นทั้งในและนอกสถานศึกษา </t>
  </si>
  <si>
    <t>ผู้เรียนคิดเป็น ทำเป็น</t>
  </si>
  <si>
    <t>ผู้เรียนมีความสามารถด้านการคิด</t>
  </si>
  <si>
    <t>ผู้เรียนมีความสามารถในการปรับตัวเข้ากับสังคม</t>
  </si>
  <si>
    <t>ผลสัมฤทธิ์ทางการเรียนของผู้เรียน</t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</si>
  <si>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ภาษาไทย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</si>
  <si>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สังคมศึกษา ศาสนาและวัฒนธรรม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</si>
  <si>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สุขศึกษาและพลศึกษา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</si>
  <si>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ศิลปะ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</si>
  <si>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การงานอาชีพและเทคโนโลยี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</si>
  <si>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t>สังกัด</t>
  </si>
  <si>
    <t>จำนวนนักเรียน</t>
  </si>
  <si>
    <t>ตัวบ่งชี้ที่</t>
  </si>
  <si>
    <t>ชื่อตัวบ่งชี้</t>
  </si>
  <si>
    <t>ค่าน้ำหนัก
ร้อยละ</t>
  </si>
  <si>
    <t>ค่าเฉลี่ย
3 ปี</t>
  </si>
  <si>
    <t>(กรุณาป้อนข้อมูลทั่วไปของสถานศึกษา ในช่องสีเขียวเท่านั้น)</t>
  </si>
  <si>
    <t>ข้อมูลหน่วยประเมิน</t>
  </si>
  <si>
    <t>คำอธิบายการป้อนข้อมูล</t>
  </si>
  <si>
    <t>คำนำหน้าหน่วยประเมิน :</t>
  </si>
  <si>
    <t>(ป้อนคำนำหน้าหน่วยประเมิน โดยเลือกจาก List)</t>
  </si>
  <si>
    <t>ชื่อหน่วยประเมิน :</t>
  </si>
  <si>
    <t>(ป้อนชื่อไม่ต้องมีคำนำหน้า เช่น เอ บี ซี การประเมิน)</t>
  </si>
  <si>
    <t>เลขประจำตัวผู้เสียภาษีของหน่วยประเมิน :</t>
  </si>
  <si>
    <t>(ป้อนเลขประจำตัวผู้เสียภาษีของหน่วยประเมิน 10 หลัก)</t>
  </si>
  <si>
    <t>ข้อมูลทั่วไปของโรงเรียน</t>
  </si>
  <si>
    <t>รหัสโรงเรียน :</t>
  </si>
  <si>
    <t>คะแนนถ่วงน้ำหนัก</t>
  </si>
  <si>
    <t>ไม่มีคะแนนพัฒนาการ</t>
  </si>
  <si>
    <t>คะแนนถ่วงน้ำหนัก(เชิงปริมาณ)</t>
  </si>
  <si>
    <t>คะแนนถ่วงน้ำหนัก (พัฒนาการ)</t>
  </si>
  <si>
    <t>คะแนนถ่วงน้ำหนัก (รวม)</t>
  </si>
  <si>
    <t>ระดับ</t>
  </si>
  <si>
    <t>คุณภาพ</t>
  </si>
  <si>
    <t>ระดับดีขึ้นไป</t>
  </si>
  <si>
    <t>ระดับปรับปรุง</t>
  </si>
  <si>
    <t>พอใช้</t>
  </si>
  <si>
    <t>ดี</t>
  </si>
  <si>
    <t>ดีมาก</t>
  </si>
  <si>
    <t>Total</t>
  </si>
  <si>
    <t>ลำดับ</t>
  </si>
  <si>
    <t>หมายเหตุ</t>
  </si>
  <si>
    <t xml:space="preserve">    หากมีข้อสงสัยหรือข้อแนะนำเกี่ยวกับการใช้โปรแกรม กรุณาโทรแจ้งที่ สมศ.</t>
  </si>
  <si>
    <t xml:space="preserve">    (คุณสมพล  ๐๒-๒๑๖๓๙๕๕ ต่อ ๑๗๐)</t>
  </si>
  <si>
    <t>คะแนนที่ได้</t>
  </si>
  <si>
    <t>(คะแนน)</t>
  </si>
  <si>
    <t>กลุ่มตัวบ่งชี้พื้นฐาน</t>
  </si>
  <si>
    <t>กลุ่มตัวบ่งชี้อัตลักษณ์</t>
  </si>
  <si>
    <t>กลุ่มตัวบ่งชี้มาตรการส่งเสริม</t>
  </si>
  <si>
    <t>สรุปผลการจัดการศึกษาระดับการศึกษาขั้นพื้นฐานของสถานศึกษาในภาพรวม :</t>
  </si>
  <si>
    <t>ระดับการศึกษาขั้นพื้นฐาน</t>
  </si>
  <si>
    <r>
      <t>สรุปผลการประเมินคุณภาพภายนอกของสถานศึ</t>
    </r>
    <r>
      <rPr>
        <b/>
        <u val="single"/>
        <sz val="18"/>
        <color indexed="12"/>
        <rFont val="BrowalliaUPC"/>
        <family val="2"/>
      </rPr>
      <t>กษา รอบสาม</t>
    </r>
    <r>
      <rPr>
        <b/>
        <sz val="18"/>
        <color indexed="12"/>
        <rFont val="BrowalliaUPC"/>
        <family val="2"/>
      </rPr>
      <t xml:space="preserve"> (ระดับประถม และ/หรือมัธยมศึกษา)</t>
    </r>
  </si>
  <si>
    <t>(ป้อนรหัสโรงเรียนตามที่ให้วันทำสัญญา)</t>
  </si>
  <si>
    <t>ชื่อโรงเรียน :</t>
  </si>
  <si>
    <t>(ป้อนชื่อโรงเรียน โดยไม่ต้องขึ้นคำว่า "โรงเรียน")</t>
  </si>
  <si>
    <t>ที่อยู่ :</t>
  </si>
  <si>
    <t>อำเภอ/เขต :</t>
  </si>
  <si>
    <t>(ป้อนอำเภอ โดยไม่ต้องขึ้นคำว่า "อำเภอ")</t>
  </si>
  <si>
    <t>จังหวัด :</t>
  </si>
  <si>
    <t>(ป้อนจังหวัด โดยเลือกจาก List)</t>
  </si>
  <si>
    <t>เบอร์โทรศัพท์ :</t>
  </si>
  <si>
    <t>(กรุณาป้อน Format  X-XXXX-XXXX เช่น 0-2216-3955 ต่อ 170)</t>
  </si>
  <si>
    <t>E-mail ติดต่อ :</t>
  </si>
  <si>
    <t>(ป้อน E-mail ของโรงเรียนหรือผู้บริหารโรงเรียน (ถ้ามี))</t>
  </si>
  <si>
    <t>Website :</t>
  </si>
  <si>
    <t>(ป้อน Website ของโรงเรียน (ถ้ามี)</t>
  </si>
  <si>
    <t>เขตพื้นที่การศึกษา :</t>
  </si>
  <si>
    <t>(ป้อนเขตพื้นที่การศึกษา โดยเลือกจาก List)</t>
  </si>
  <si>
    <t>สังกัด :</t>
  </si>
  <si>
    <t>(ป้อนสังกัด โดยเลือกจาก List)</t>
  </si>
  <si>
    <t>ชั้นเรียนที่เปิดสอน :</t>
  </si>
  <si>
    <t>(ป้อนชั้นเรียนที่เปิดสอน โดยเลือกจาก List)</t>
  </si>
  <si>
    <t>ระดับปฐมวัย :</t>
  </si>
  <si>
    <t>ระดับประถมศึกษา :</t>
  </si>
  <si>
    <t>ระดับมัธยมศึกษา :</t>
  </si>
  <si>
    <t>รวมจำนวนนักเรียนทั้งหมด :</t>
  </si>
  <si>
    <t>ขนาดโรงเรียน :</t>
  </si>
  <si>
    <t>จำนวนบุคลากรสายบริหาร</t>
  </si>
  <si>
    <t>จำนวนบุคลากรสายบริหาร :</t>
  </si>
  <si>
    <t>จำนวนบุคลากรครู</t>
  </si>
  <si>
    <t xml:space="preserve">ประสิทธิผลของการจัดการเรียนการสอนที่เน้นผู้เรียนเป็นสำคัญ </t>
  </si>
  <si>
    <t>ประสิทธิผลการดำเนินการของสถานศึกษา</t>
  </si>
  <si>
    <t>1) สถานศึกษาส่งเสริมให้ครูได้รับการพัฒนาในวิชาที่สอนหรือวิชาครูตามที่คุรุสภากำหนด (ไม่ต่ำกว่า 20 ชม./ปี)</t>
  </si>
  <si>
    <t>2) สถานศึกษามีการประเมินแผนการจัดการเรียนรู้ของครูทุกคนอย่างสม่ำเสมออย่างน้อยภาคการศึกษาละ 1 ครั้ง</t>
  </si>
  <si>
    <t>3) สถานศึกษามีการประเมินการจัดการเรียนการสอนของครูทุกคนอย่างสม่ำเสมอ อย่างน้อยภาคการศึกษาละ 1 ครั้ง</t>
  </si>
  <si>
    <t>4) สถานศึกษามีการประเมินแบบวัด แบบทดสอบของครูทุกคน ทุกภาคการศึกษา</t>
  </si>
  <si>
    <t>5) สถานศึกษามีการนำผลประเมินจากข้อ 1-4 ไปพัฒนาครูแต่ละคนอย่างเป็นระบบ</t>
  </si>
  <si>
    <t xml:space="preserve">กระบวนการจัดการเรียนรู้ของครู </t>
  </si>
  <si>
    <t>จำนวนครูที่มีคุณลักษณะครบตามเกณฑ์พิจารณาทั้ง 8 ข้อ</t>
  </si>
  <si>
    <t>จำนวนครูทั้งหมด</t>
  </si>
  <si>
    <t>ประสิทธิภาพของการบริหารจัดการและการพัฒนาสถานศึกษา</t>
  </si>
  <si>
    <r>
      <t>ข้อที่ 1</t>
    </r>
    <r>
      <rPr>
        <sz val="14"/>
        <color indexed="8"/>
        <rFont val="Browallia New"/>
        <family val="2"/>
      </rPr>
      <t xml:space="preserve"> ประสิทธิภาพการบริหารจัดการตามบทบาท หน้าที่ของผู้บริหารสถานศึกษา</t>
    </r>
  </si>
  <si>
    <t>ด้านงบประมาณ</t>
  </si>
  <si>
    <t>ด้านวิชาการ</t>
  </si>
  <si>
    <t>ด้านการบริหารงานบุคคล</t>
  </si>
  <si>
    <t>ด้านการบริหารทั่วไป</t>
  </si>
  <si>
    <r>
      <t>ข้อที่ 2</t>
    </r>
    <r>
      <rPr>
        <sz val="14"/>
        <color indexed="8"/>
        <rFont val="Browallia New"/>
        <family val="2"/>
      </rPr>
      <t xml:space="preserve"> ประสิทธิภาพของคณะกรรมการสถานศึกษาขั้นพื้นฐาน</t>
    </r>
  </si>
  <si>
    <r>
      <t>ข้อที่ 3</t>
    </r>
    <r>
      <rPr>
        <sz val="14"/>
        <color indexed="8"/>
        <rFont val="Browallia New"/>
        <family val="2"/>
      </rPr>
      <t xml:space="preserve"> บรรยากาศและสภาพแวดล้อม</t>
    </r>
  </si>
  <si>
    <t>ตัวบ่งชี้ที่ 1</t>
  </si>
  <si>
    <t>ตัวบ่งชี้ที่ 2</t>
  </si>
  <si>
    <t>ตัวบ่งชี้ที่ 3</t>
  </si>
  <si>
    <t>ตัวบ่งชี้ที่ 4</t>
  </si>
  <si>
    <t>ตัวบ่งชี้ที่ 5</t>
  </si>
  <si>
    <t>ตัวบ่งชื้ที่ 6</t>
  </si>
  <si>
    <t>ตัวบ่งชี้ที่ 7</t>
  </si>
  <si>
    <t>ตัวบ่งชี้ที่ 8</t>
  </si>
  <si>
    <t>พัฒนาการของการประกันคุณภาพภายในโดยสถานศึกษาและต้นสังกัด</t>
  </si>
  <si>
    <t>ตัวบ่งชี้ที่ 9</t>
  </si>
  <si>
    <t xml:space="preserve">ผลการพัฒนาให้บรรลุตามปรัชญา  ปณิธาน  พันธกิจ  และวัตถุประสงค์ของการจัดตั้งสถานศึกษา </t>
  </si>
  <si>
    <t xml:space="preserve">ผู้เรียนเป็นลูกที่ดีของพ่อแม่หรือผู้ปกครอง </t>
  </si>
  <si>
    <t xml:space="preserve">ร้อยละของผู้เรียนที่เป็นลูกที่ดีของพ่อแม่หรือผู้ปกครอง
</t>
  </si>
  <si>
    <t>2.2.1  ร้อยละของผู้เรียนที่ไม่ขาดเรียน ไม่มาสายและไม่ออกจากการศึกษากลางคันเพราะปัญหาด้านความประพฤติ</t>
  </si>
  <si>
    <r>
      <t>3.1.1  ร้อยละของผู้เรียนที่มีการเรียนรู้</t>
    </r>
    <r>
      <rPr>
        <b/>
        <i/>
        <sz val="14"/>
        <color indexed="8"/>
        <rFont val="Browallia New"/>
        <family val="2"/>
      </rPr>
      <t>จากการอ่าน</t>
    </r>
    <r>
      <rPr>
        <i/>
        <sz val="14"/>
        <color indexed="8"/>
        <rFont val="Browallia New"/>
        <family val="2"/>
      </rPr>
      <t>อย่างน้อยสัปดาห์ละ 1 ครั้ง</t>
    </r>
  </si>
  <si>
    <r>
      <t>3.1.2  ร้อยละของผู้เรียนที่มีการเรียนรู้</t>
    </r>
    <r>
      <rPr>
        <b/>
        <i/>
        <sz val="14"/>
        <color indexed="8"/>
        <rFont val="Browallia New"/>
        <family val="2"/>
      </rPr>
      <t>จากการใช้เทคโนโลยีสารสนเทศ</t>
    </r>
    <r>
      <rPr>
        <i/>
        <sz val="14"/>
        <color indexed="8"/>
        <rFont val="Browallia New"/>
        <family val="2"/>
      </rPr>
      <t xml:space="preserve"> อย่างน้อยสัปดาห์ละ 1 ครั้ง</t>
    </r>
  </si>
  <si>
    <r>
      <t>3.2.1  ร้อยละของผู้เรียนที่เรียนรู้ผ่านประสบการณ์ตรงร่วมกับผู้อื่น</t>
    </r>
    <r>
      <rPr>
        <b/>
        <i/>
        <sz val="14"/>
        <color indexed="8"/>
        <rFont val="Browallia New"/>
        <family val="2"/>
      </rPr>
      <t>ในสถานศึกษาในระดับดีขึ้นไป</t>
    </r>
    <r>
      <rPr>
        <i/>
        <sz val="14"/>
        <color indexed="8"/>
        <rFont val="Browallia New"/>
        <family val="2"/>
      </rPr>
      <t xml:space="preserve">จากการดู การฟัง การลงมือปฏิบัติ การทัศนศึกษาและจากข้อมูลเชิงประจักษ์
</t>
    </r>
  </si>
  <si>
    <r>
      <t>3.2.2  ร้อยละของผู้เรียนที่เรียนรู้ผ่านประสบการณ์ตรงร่วมกับผู้อื่น</t>
    </r>
    <r>
      <rPr>
        <b/>
        <i/>
        <sz val="14"/>
        <color indexed="8"/>
        <rFont val="Browallia New"/>
        <family val="2"/>
      </rPr>
      <t>นอกสถานศึกษาในระดับดีขึ้นไป</t>
    </r>
    <r>
      <rPr>
        <i/>
        <sz val="14"/>
        <color indexed="8"/>
        <rFont val="Browallia New"/>
        <family val="2"/>
      </rPr>
      <t>จากการดู การฟัง การลงมือปฏิบัติ การทัศนศึกษาและจากข้อมูลเชิงประจักษ์</t>
    </r>
  </si>
  <si>
    <t xml:space="preserve">ร้อยละของผู้เรียนที่ผ่านเกณฑ์การประเมินความสามารถด้านการคิดในระดับดีขึ้นไป ตามที่กำหนดในหลักสูตรแกนกลางการศึกษาขั้นพื้นฐาน พุทธศักราช 2551 และจากข้อมูลเชิงประจักษ์
</t>
  </si>
  <si>
    <t xml:space="preserve">ร้อยละของผู้เรียนที่ผ่านเกณฑ์การประเมินความสามารถในการปรับตัวเข้ากับสังคมในระดับดีขึ้นไป ตามที่กำหนดในหลักสูตรแกนกลางการศึกษาขั้นพื้นฐาน พุทธศักราช 2551 และจากข้อมูลเชิงประจักษ์
</t>
  </si>
  <si>
    <t>1. การวางแผนงานวิชาการ ได้แก่ การรวบรวมข้อมูลและจัดทำระเบียบแนวปฏิบัติที่เกี่ยวกับงานวิชาการ และการทำแผนงานวิชาการหรือโครงการพัฒนางานวิชาการ</t>
  </si>
  <si>
    <t>2. การบริหารงานวิชาการ ได้แก่ การกำหนดหน้าที่ความรับผิดชอบ การจัดกลุ่มการเรียน การจัดตารางสอน การจัดครูเข้าสอนตามตารางสอน การจัดครูสอนแทน และการนำนวัตกรรมเทคโนโลยีมาใช้ดำเนินงานวิชาการ</t>
  </si>
  <si>
    <t>3. การจัดการเรียนการสอนในสถานศึกษา ได้แก่ จัดทำ การใช้ การปรับปรุงแผนการสอน จัดหา จัดทำ ใช้ บำรุงรักษาและส่งเสริมผลิตสื่อการเรียนการสอน</t>
  </si>
  <si>
    <t>4. การพัฒนาและส่งเสริมทางด้านวิชาการ ได้แก่ พัฒนาหลักสูตรของสถานศึกษา พัฒนากระบวนการเรียนรู้ การจัดสอนซ่อมเสริม จัดกิจกรรมนักเรียนตามหลักสูตร</t>
  </si>
  <si>
    <t>1. การจัดทำแผนงบประมาณและคำขอตั้งงบประมาณ ที่สอดคล้องกับผลการการวิเคราะห์และพัฒนานโยบายทางการศึกษา การจัดทำแผนกลยุทธ์หรือแผนพัฒนาการศึกษา การวิเคราะห์ความเหมาะสมกับสภาพปัญหาหรือความจำเป็นของสถานศึกษา</t>
  </si>
  <si>
    <t>2. การจัดสรรงบประมาณในสถานศึกษา ได้แก่ การเบิกจ่ายและการอนุมัติงบประมาณ การโอนเงินงบประมาณ การระดมทรัพยากร และการลงทุนเพื่อการศึกษา การจัดการทรัพยากร เช่นการระดมทรัพยากร การจัดหารายได้และผลประโยชน์ กองทุนกู้ยืมเพื่อการศึกษา กองทุนสวัสดิการเพื่อการศึกษา</t>
  </si>
  <si>
    <t>3. การตรวจสอบ ติดตาม ประเมินผลและรายงานผลการใช้เงินและผลการดำเนินงาน</t>
  </si>
  <si>
    <t>4. การบริหารการเงินและการบัญชี ได้แก่  การเบิกเงินจากคลังหรือหน่วยเบิกเงิน  การรับเงิน การเก็บรักษาเงิน การจ่ายเงิน การนำส่งเงิน(ถ้ามี) การกันเงินไว้เบิกเหลื่อมปี (ถ้ามี) การจัดทำบัญชีการเงิน การจัดทำรายงานทางการเงินและงบการเงิน</t>
  </si>
  <si>
    <t>5. การบริหารพัสดุและสินทรัพย์ ได้แก่ การจัดทำระบบฐานข้อมูลสินทรัพย์ของสถานศึกษา การจัดหาพัสดุ การกำหนดแบบรูปรายการหรือคุณลักษณะเฉพาะและการจัดซื้อจัดจ้าง การควบคุมดูแล บำรุงรักษา และการจำหน่ายพัสดุ</t>
  </si>
  <si>
    <t>2. การพัฒนาบุคลากร ได้แก่ การปฐมนิเทศ สอนงาน มอบอำนาจหน้าที่ จัดฝึกอบรมส่งไปดูงาน หรือศึกษาต่อจัดให้เข้าร่วมประชุม หรือมีบทบาทในคณะกรรมการต่างๆ เปิดโอกาสให้แสดงความคิดเห็น โดยการเขียน พูด ในงานสัมมนาต่าง ๆ เพื่อเสริมสร้าง</t>
  </si>
  <si>
    <t>3. การบำรุงรักษาบุคลากร ได้แก่ การสร้างแรงจูงใจ เช่น บำรุงขวัญ ริเริ่ม และส่งเสริมความก้าวหน้า สวัสดิการ การส่งเสริมให้บุคลากรมีวินัยและรักษาวินัยในการทำงาน เช่น การปฏิบัติตามกฏหมาย กฏ ข้อบังคับ ระเบียบ และแบบธรรมเนียมที่กำหนดให้ปฏิบัติตามหรืองดเว้นการปฏิบัติหรือการประพฤติในทางไม่ชอบไม่ควร</t>
  </si>
  <si>
    <t>4. การประเมินผลการปฏิบัติงาน ได้แก่ ระบบการประเมิน กระบวนการประเมิน เอกสารการประเมิน และการใช้ผลประเมินอย่างมีประสิทธิภาพ</t>
  </si>
  <si>
    <t>5. การให้ออกจากงาน ได้แก่ การกำหนดระบบ ระเบียบ แนวปฏิบัติที่เป็นไปตามหน่วยงานกำหนดหรือต้นสังกัดกำหนดไว้</t>
  </si>
  <si>
    <t>1. การวางแผนงานบริหารทั่วไปที่ครอบคลุมภาระงานที่สำคัญ ได้แก่ การพัฒนาระบบและเครือข่ายข้อมูลสารสนเทศ การวางแผนการบริหารงานการศึกษา การดำเนินงานธุรการ การดูแลอาคารสถานที่และสภาพแวดล้อม การรับนักเรียน งานกิจการนักเรียน งานสัมพันธ์ชุมชน งานประสานงานกับหน่วยงานต่างๆ</t>
  </si>
  <si>
    <t>3. การกำกับติดตามให้งานบริหารทั่วไปบรรลุเป้าหมายที่กำหนดไว้</t>
  </si>
  <si>
    <t>4. การประเมินผลการปฏิบัติงานบริหารทั่วไป</t>
  </si>
  <si>
    <t>5. การใช้ผลประเมินเพื่อการพัฒนางานบริหารทั่วไป</t>
  </si>
  <si>
    <t>1. สะอาด</t>
  </si>
  <si>
    <t>2. สุขลักษณะ</t>
  </si>
  <si>
    <t>3. สวยงาม</t>
  </si>
  <si>
    <t>2. การดำเนินการตามแผน ได้แก่ การกำหนดผู้รับผิดชอบ การมีส่วนร่วมจากบุคลากรและผู้เกี่ยวข้อง</t>
  </si>
  <si>
    <t>1. การวางแผนบุคลากรที่มาจากการวิเคราะห์ตามความต้องการและจำเป็นของสถานศึกษา ได้แก่ การจัดสรรอัตรากำลังข้าราชการครูและบุคลากรทางการศึกษา การสรรหาและบรรจุแต่งตั้ง เป็นไปตามขั้นตอนที่มีประสิทธิภาพ โปร่งใส เสมอภาคและเป็นธรรม</t>
  </si>
  <si>
    <t>5. การวัดผลประเมินผลการเรียน และงานทะเบียนนักเรียน ได้แก่ การดำเนินการวัดผลและประเมินผลการเรียน การสร้างและปรับปรุงเครื่องมือ การจัดให้มีเอกสารแบบฟอร์มเกี่ยวกับการวัดผลประเมินผลการเรียน การดำเนินการเกี่ยวกับหลักฐานการวัดผลประเมินผลการเรียน และงานทะเบียนนักเรียน</t>
  </si>
  <si>
    <t>สถานศึกษามีการดำเนินการอย่างมีคุณภาพ 0 ข้อ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</si>
  <si>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4 ด้าน
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</si>
  <si>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3 ด้าน
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</si>
  <si>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2 ด้าน
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</si>
  <si>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1 ด้าน
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</si>
  <si>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0 ด้าน
</t>
  </si>
  <si>
    <r>
      <t>พัฒนาการ</t>
    </r>
    <r>
      <rPr>
        <sz val="14"/>
        <color indexed="8"/>
        <rFont val="Browallia New"/>
        <family val="2"/>
      </rPr>
      <t xml:space="preserve">  คะแนนพัฒนาการของการประกันคุณภาพภายในโดยสถานศึกษา (เปรียบเทียบ 3 ปีการศึกษา)</t>
    </r>
  </si>
  <si>
    <t>มีพัฒนาการและสอดคล้องกับรายงานการประเมินตนเอง  (สถานศึกษาดำเนินการได้ครบถ้วน 8 ข้อ)</t>
  </si>
  <si>
    <t>มีพัฒนาการแต่ไม่สอดคล้องกับรายงานการประเมินตนเอง (สถานศึกษาดำเนินการได้ 5-7 ข้อ)</t>
  </si>
  <si>
    <t>ไม่มีพัฒนาการและไม่สอดคล้องกับรายงานการประเมินตนเอง (สถานศึกษาดำเนินการได้ 1-4 ข้อ)</t>
  </si>
  <si>
    <t>1) กำหนดมาตรฐานการศึกษาของสถานศึกษา (การนำมาตรฐานของต้นสังกัดที่ครบถ้วน รวมทั้งของสถานศึกษา (ถ้ามี) กำหนดเป็นเป้าหมายการพัฒนา</t>
  </si>
  <si>
    <t>2) จัดทำแผนพัฒนาการจัดการศึกษาของสถานศึกษาที่มุ่งคุณภาพตามมาตรฐานการศึกษาของสถานศึกษา</t>
  </si>
  <si>
    <t>3) ดำเนินงานตามแผนพัฒนาการจัดการศึกษาของสถานศึกษา</t>
  </si>
  <si>
    <t>4) จัดระบบบริหารและสารสนเทศตามระบบบริหารคุณภาพ (PDCA)</t>
  </si>
  <si>
    <t>5) จัดให้มีการติดตามตรวจสอบคุณภาพการศึกษา</t>
  </si>
  <si>
    <t>6) จัดให้มีการประเมินคุณภาพภายในตามมาตรฐานการศึกษาของสถานศึกษา</t>
  </si>
  <si>
    <t>7) จัดทำรายงานประจำปีที่เป็นรายงานประเมินคุณภาพภายใน</t>
  </si>
  <si>
    <t>8) จัดให้มีการพัฒนาคุณภาพการศึกษาอย่างต่อเนื่อง</t>
  </si>
  <si>
    <t>1) ผู้บริหาร ครู บุคลากร ชุมชนและองค์กรภายนอกมีส่วนร่วมในการกำหนดแผนปฏิบัติงานด้านผลผลิตโดยระบุเป้าหมายและกลยุทธ์ที่สอดคล้องกับปรัชญา ปณิธาน/วิสัยทัศน์ และพันธกิจการดำเนินงานของสถานศึกษาโดยได้รับการเห็นชอบจากคณะกรรมการสถานศึกษา</t>
  </si>
  <si>
    <t>2) มีการสร้างระบบการมีส่วนร่วมของผู้เรียน และบุคลากรในการปฏิบัติตามกลยุทธ์ด้านผลผลิตที่กำหนดอย่างครบถ้วนสมบูรณ์และบุคลากรไม่น้อยกว่าร้อยละ 50 ให้ความร่วมมือในการปฏิบัติ</t>
  </si>
  <si>
    <t>3) มีการประเมินความพึงพอใจด้านผลผลิตของผู้มีส่วนเกี่ยวข้องในสถานศึกษา และผู้มีส่วนเกี่ยวข้องมีความพึงพอใจอยู่ในระดับดีไม่น้อยกว่าร้อยละ 80</t>
  </si>
  <si>
    <t>5) ผลการดำเนินงานด้านผลผลิตเกิดผลกระทบที่ดีต่อสถานศึกษาและเป็นที่ยอมรับของชุมชน</t>
  </si>
  <si>
    <t>4) ผลการดำเนินงานด้านผลผลิตบรรลุตามปรัชญา ปณิธาน/วิสัยทัศน์ พันธกิจและวัตถุประสงค์การจัดตั้งสถานศึกษา</t>
  </si>
  <si>
    <t>1) ผู้บริหาร ครู บุคลากร ชุมชนและองค์กรภายนอกมีส่วนร่วมในการกำหนดจุดเน้น จุดเด่น ของสถานศึกษา รวมทั้งกำหนดแผนปฏิบัติงานที่เกี่ยวข้อง โดยได้รับการเห็นชอบจากคณะกรรมการสถานศึกษา</t>
  </si>
  <si>
    <t>2) มีการสร้างระบบการมีส่วนร่วมของผู้เรียน และบุคลากรในการปฏิบัติตามแผนปฏิบัติงานที่กำหนดอย่างครบถ้วนสมบูรณ์ และบุคลากรไม่น้อยกว่าร้อยละ 50 มีส่วนร่วมอย่างต่อเนื่อง</t>
  </si>
  <si>
    <t>3) มีการประเมินความพึงพอใจของผู้มีส่วนเกี่ยวข้องทั้งในและนอกสถานศึกษาและผู้มีส่วนเกี่ยวข้องไม่น้อยกว่าร้อยละ 80 มีความพึงพอใจอยู่ในระดับดี</t>
  </si>
  <si>
    <t>4) ผลการดำเนินงานบรรลุตามจุดเน้นหรือจุดเด่นของสถานศึกษาและเกิดผลกระทบที่ดีต่อชุมชน ท้องถิ่น</t>
  </si>
  <si>
    <t>5) สถานศึกษามีจุดเน้นหรือจุดเด่นตามที่กำหนด และได้รับการยอมรับจากองค์กรภายนอกสถานศึกษา</t>
  </si>
  <si>
    <t>1) มีการดำเนินการโครงการพิเศษ อย่างน้อย 1 โครงการ</t>
  </si>
  <si>
    <t>2) มีการดำเนินงานตามระบบบริหารคุณภาพ (PDCA)</t>
  </si>
  <si>
    <t>3) บรรลุเป้าหมายตามแผนการดำเนินงาน ไม่ต่ำกว่าร้อยละ 80</t>
  </si>
  <si>
    <t>4) ผู้เรียนไม่น้อยกว่าร้อยละ 50 มีส่วนร่วมในโครงการพิเศษ</t>
  </si>
  <si>
    <t xml:space="preserve">โครงการอย่างน้อย 1 โครงการของสถานศึกษาสามารถเป็นแบบอย่างของการเปลี่ยนแปลงที่ดีขึ้นในการแก้ไขปัญหาในสถานศึกษา และ/หรือ ชุมชนรอบสถานศึกษา </t>
  </si>
  <si>
    <t>1) มีแผนการดำเนินงานประจำปีตามมาตรการที่นำมาปรับปรุงและพัฒนา เพื่อมุ่งไปสู่สถานศึกษาที่มีคุณภาพตามกลุ่มสถานศึกษาข้างต้น โดยใช้ข้อเสนอแนะจากผลการประเมินคุณภาพภายนอกรอบสองและผลการประเมินคุณภาพภายใน (กรณีสถานศึกษาที่ยังไม่เคยได้รับการประเมินคุณภาพภายนอกรอบสองให้ใช้ผลการประเมินคุณภาพภายในจากต้นสังกัด)</t>
  </si>
  <si>
    <t>2) มีข้อตกลงร่วมกันระหว่างสถานศึกษากับหน่วยงานต้นสังกัดหรือหน่วยงานสนับสนุน ทั้งเป็นลายลักษณ์อักษรหรือมีข้อมูลเชิงประจักษ์</t>
  </si>
  <si>
    <t>3) มีการดำเนินงานตามระบบบริหารคุณภาพ (PDCA)</t>
  </si>
  <si>
    <t>4) ผลการดำเนินงานบรรลุเป้าหมายตามแผนปฏิบัติการประจำปี  ไม่น้อยกว่าร้อยละ 80</t>
  </si>
  <si>
    <t>4) ผลการดำเนินงานบรรลุเป้าหมายตามแผนปฏิบัติการประจำปี ไม่น้อยกว่าร้อยละ 80</t>
  </si>
  <si>
    <t>5) มีผลกระทบต่อคุณภาพของสถานศึกษาตามแนวทางการปฏิรูปการศึกษาในทศวรรษที่สอง (พ.ศ.2552-2561)</t>
  </si>
  <si>
    <t>สถานศึกษาดำเนินการได้อย่างมีคุณภาพระดับดีมาก
 1 ข้อ</t>
  </si>
  <si>
    <t>สถานศึกษาดำเนินการได้อย่างมีคุณภาพระดับดีมาก
 0 ข้อ</t>
  </si>
  <si>
    <t>สถานศึกษาดำเนินการได้อย่างมีคุณภาพระดับดีมาก
 2 ข้อ</t>
  </si>
  <si>
    <t>สถานศึกษาดำเนินการได้อย่างมีคุณภาพระดับดีมาก
 3 ข้อ</t>
  </si>
  <si>
    <t>ผลรวมคะแนนตัวบ่งชี้ที่ ๑</t>
  </si>
  <si>
    <t>ผลรวมคะแนนตัวบ่งชี้ที่ ๒</t>
  </si>
  <si>
    <t>ผลรวมคะแนนตัวบ่งชี้ที่ ๓</t>
  </si>
  <si>
    <t>ผลรวมคะแนนตัวบ่งชี้ที่ ๔</t>
  </si>
  <si>
    <t>ผลรวมคะแนนตัวบ่งชี้ที่ ๕</t>
  </si>
  <si>
    <t>ผลรวมคะแนนตัวบ่งชี้ที่ ๖</t>
  </si>
  <si>
    <t>ผลรวมคะแนนตัวบ่งชี้ที่ ๗</t>
  </si>
  <si>
    <t>ผลรวมคะแนนตัวบ่งชี้ที่ ๘</t>
  </si>
  <si>
    <t>ผลรวมคะแนนตัวบ่งชี้ที่ ๙</t>
  </si>
  <si>
    <t>ผลรวมคะแนนตัวบ่งชี้ที่ ๑๐</t>
  </si>
  <si>
    <t>ผลรวมคะแนนตัวบ่งชี้ที่ ๑๑</t>
  </si>
  <si>
    <t>ผลรวมคะแนนตัวบ่งชี้ที่ ๑๒</t>
  </si>
  <si>
    <t>1.1.1  ร้อยละของเด็กซึ่งมีการเจริญเติบโตสมวัย</t>
  </si>
  <si>
    <t>1.1.2  ร้อยละของเด็กซึ่งมีสมรรถภาพทางร่างกายสมวัย</t>
  </si>
  <si>
    <t>1.1.3  ร้อยละของเด็กซึ่งมีสมรรถภาพทางกลไกสมวัย</t>
  </si>
  <si>
    <t>1.2.1  ร้อยละของเด็กซึ่งสามารถดูแลตนเองให้มีสุขนิสัยที่ดี</t>
  </si>
  <si>
    <t>1.2.2  ร้อยละของเด็กซึ่งรู้จักหลีกเลี่ยงการกระทำที่นำไปสู่การบาดเจ็บได้ตามวัย</t>
  </si>
  <si>
    <t>2.1.1  ร้อยละของเด็กซึ่งแสดงความตระหนักในตนเอง</t>
  </si>
  <si>
    <t>2.1.2  ร้อยละของเด็กซึ่งมีความรู้สึกที่ดีต่อตนเองและผู้อื่น</t>
  </si>
  <si>
    <t>2.1.3  ร้อยละของเด็กซึ่งมีความมุ่งมั่นตั้งใจ</t>
  </si>
  <si>
    <t>2.1.4  ร้อยละของเด็กซึ่งสามารถเล่นและปฏิบัติกิจกรรมร่วมกับผู้อื่น</t>
  </si>
  <si>
    <t>2.1.5  ร้อยละของเด็กซึ่งมีมนุษยสัมพันธ์กับคนคุ้นเคย</t>
  </si>
  <si>
    <t xml:space="preserve">2.1.6  ร้อยละของเด็กซึ่งมีความรู้สึกร่วมกับผู้อื่น  </t>
  </si>
  <si>
    <t>2.2.1  ร้อยละของเด็กซึ่งแสดงความชื่นชอบและตอบสนองต่อศิลปะ  ดนตรีและการเคลื่อนไหว</t>
  </si>
  <si>
    <t>2.2.2  ร้อยละของเด็กซึ่งแสดงความชื่นชอบต่อธรรมชาติ</t>
  </si>
  <si>
    <t>3.1.1  ร้อยละของเด็กซึ่งมีวินัย ความรับผิดชอบ</t>
  </si>
  <si>
    <t>3.1.2  ร้อยละของเด็กซึ่งรู้จักอดทนรอคอย</t>
  </si>
  <si>
    <t>3.1.3  ร้อยละของเด็กซึ่งมีความซื่อสัตย์</t>
  </si>
  <si>
    <t>3.1.4  ร้อยละของเด็กซึ่งรู้จักประหยัด</t>
  </si>
  <si>
    <t>3.1.5  ร้อยละของเด็กซึ่งรู้คุณผู้อื่น มีเมตตากรุณา มีน้ำใจ</t>
  </si>
  <si>
    <t>3.2.1  ร้อยละของเด็กซึ่งเคารพในสิทธิของผู้อื่น</t>
  </si>
  <si>
    <t>3.2.2  ร้อยละของเด็กซึ่งสามารถปฏิบัติตามกฎของห้องเรียนและสถานศึกษาได้</t>
  </si>
  <si>
    <t>3.2.3  ร้อยละของเด็กซึ่งปฏิบัติตนตามวัฒนธรรมไทยและหลักศาสนาที่นับถือ</t>
  </si>
  <si>
    <t>3.2.4  ร้อยละของเด็กซึ่งรู้จักการเป็นผู้นำและผู้ตามที่ดี</t>
  </si>
  <si>
    <t>4.1.1  ร้อยละของเด็กซึ่งรักการอ่านตามวัย</t>
  </si>
  <si>
    <t>4.1.2  ร้อยละของเด็กซึ่งใฝ่รู้ในเรื่องรอบตัวตามวัย</t>
  </si>
  <si>
    <t>4.2.1  ร้อยละของเด็กซึ่งมีสมาธิในการเรียนรู้</t>
  </si>
  <si>
    <t>4.2.2  ร้อยละของเด็กซึ่งสามารถจำสิ่งต่างๆ ได้</t>
  </si>
  <si>
    <t>4.2.3  ร้อยละของเด็กซึ่งมีความคิดรวบยอดเกี่ยวกับสิ่งต่างๆ ที่เกิดจากการเรียนรู้</t>
  </si>
  <si>
    <t>4.2.4  ร้อยละของเด็กซึ่งสามารถแก้ปัญหาได้เหมาะสมตามวัย</t>
  </si>
  <si>
    <t>4.3.1  ร้อยละของเด็กซึ่งมีความเข้าใจและใช้ภาษาพูดอย่างถูกต้องเหมาะสมตามวัย</t>
  </si>
  <si>
    <t>4.3.2  ร้อยละของเด็กซึ่งมีทักษะในการอ่านอย่างถูกต้องเหมาะสมตามวัย</t>
  </si>
  <si>
    <t>4.3.3  ร้อยละของเด็กซึ่งมีทักษะในการเขียนเพื่อสื่อความหมายอย่างถูกต้องเหมาะสมตามวัย</t>
  </si>
  <si>
    <t>4.3.4  ร้อยละของเด็กซึ่งมีความเข้าใจและใช้ภาษาท่าทางและสัญลักษณ์อย่างถูกต้องเหมาะสมตามวัย</t>
  </si>
  <si>
    <t>4.4.1  ร้อยละของเด็กซึ่งถ่ายทอดความคิดสร้างสรรค์ผ่านการทำงานศิลปะ  เล่าเรื่อง  เล่นเกมภาษา</t>
  </si>
  <si>
    <t>4.4.2  ร้อยละของเด็กซึ่งทดลองวิธีการใหม่ๆในการทำสิ่งต่างๆ</t>
  </si>
  <si>
    <t>5.1.1  ร้อยละของเด็กซึ่งทักษะพื้นฐานตามพัฒนาการด้านร่างกายสมวัย</t>
  </si>
  <si>
    <t>5.1.2  ร้อยละของเด็กซึ่งมีทักษะพื้นฐานตามพัฒนาการด้านอารมณ์และจิตใจสมวัย</t>
  </si>
  <si>
    <t>5.1.3  ร้อยละของเด็กซึ่งมีทักษะพื้นฐานตามพัฒนาการด้านสังคมสมวัย</t>
  </si>
  <si>
    <t>5.1.4  ร้อยละของเด็กซึ่งมีทักษะพื้นฐานตามพัฒนาการด้านสติปัญญาสมวัย</t>
  </si>
  <si>
    <t>5.2.1  ร้อยละของเด็กซึ่งมีความรู้เรื่องราวเกี่ยวกับตัวเด็ก</t>
  </si>
  <si>
    <t>5.2.2  ร้อยละของเด็กซึ่งมีความรู้เรื่องราวเกี่ยวกับบุคคลและสถานที่แวดล้อมตัวเด็ก</t>
  </si>
  <si>
    <t>5.2.3  ร้อยละของเด็กซึ่งมีความรู้เรื่องราวเกี่ยวกับธรรมชาติรอบตัวเด็ก</t>
  </si>
  <si>
    <t>5.2.4  ร้อยละของเด็กซึ่งมีความรู้เรื่องราวเกี่ยวกับสิ่งต่างๆ รอบตัวเด็ก</t>
  </si>
  <si>
    <t>4) ผลการดำเนินงานบรรลุตามจุดเน้น หรือจุดเด่นของสถานศึกษาและเกิดผลกระทบที่ดีต่อชุมชน ท้องถิ่น</t>
  </si>
  <si>
    <t>5) สถานศึกษามีจุดเน้น หรือจุดเด่น ตามที่กำหนด และได้รับการยอมรับจากองค์กรภายนอกสถานศึกษา</t>
  </si>
  <si>
    <t>3) มีการประเมินความพึงพอใจของผู้มีส่วนเกี่ยวข้องทั้งในและนอกสถานศึกษา และผู้มีส่วนเกี่ยวข้องไม่น้อยกว่าร้อยละ 80 มีความพึงพอใจอยู่ในระดับดี</t>
  </si>
  <si>
    <t>ตั้งแต่ร้อยละ 75 ขึ้นไปของปัญหาที่สถานศึกษานำไปแก้ไข มีผลการเปลี่ยนแปลงที่ดีขึ้น</t>
  </si>
  <si>
    <t>โครงการอย่างน้อย 1 โครงการของสถานศึกษาสามารถเป็นแบบอย่างของการเปลี่ยนแปลงที่ดีขึ้นในการแก้ไขปัญหาในสถานศึกษา และ/หรือ ชุมชนรอบสถานศึกษา</t>
  </si>
  <si>
    <t xml:space="preserve"> - ระดับอนุบาล 1</t>
  </si>
  <si>
    <t xml:space="preserve"> - ระดับอนุบาล 2</t>
  </si>
  <si>
    <t xml:space="preserve"> - ระดับอนุบาล 3</t>
  </si>
  <si>
    <t xml:space="preserve">๘.๑ ผลการประเมินคุณภาพภายในโดยต้นสังกัด
</t>
  </si>
  <si>
    <t xml:space="preserve">๘.๒ พัฒนาการของระบบการประกันคุณภาพภายในของสถานศึกษา
</t>
  </si>
  <si>
    <t>รายชื่อผู้ประเมินอภิมานภายใน</t>
  </si>
  <si>
    <t>สัดส่วนของจำนวนนักเรียน : ครู</t>
  </si>
  <si>
    <t xml:space="preserve"> ผลการพัฒนาให้บรรลุตามปรัชญา ปณิธาน/วิสัยทัศน์ พันธกิจและวัตถุประสงค์ของการจัดตั้งสถานศึกษา</t>
  </si>
  <si>
    <t>ผลการส่งเสริมพัฒนาสถานศึกษาเพื่อยกระดับมาตรฐาน รักษามาตรฐาน และพัฒนาสู่ความเป็นเลิศ ที่สอดคล้องกับแนวทางการปฏิรูปการศึกษา</t>
  </si>
  <si>
    <r>
      <t>ตัวบ่งชี้ที่ ๙</t>
    </r>
    <r>
      <rPr>
        <b/>
        <i/>
        <sz val="14"/>
        <color indexed="16"/>
        <rFont val="BrowalliaUPC"/>
        <family val="2"/>
      </rPr>
      <t xml:space="preserve">  ผลการพัฒนาให้บรรลุตามปรัชญา ปณิธาน/วิสัยทัศน์ พันธกิจ และวัตถุประสงค์ของการจัดตั้งสถานศึกษา (น้ำหนัก ๕ คะแนน)</t>
    </r>
  </si>
  <si>
    <t xml:space="preserve">๙. ผลการพัฒนาให้บรรลุตามปรัชญา  ปณิธาน/วิสัยทัศน์ พันธกิจและวัตถุประสงค์ของการจัดตั้งสถานศึกษา 
 </t>
  </si>
  <si>
    <t>บึงกาฬ</t>
  </si>
  <si>
    <t>สพป.บึงกาฬ</t>
  </si>
  <si>
    <t>สพม.เขต 21 (หนองคาย, บึงกาฬ)</t>
  </si>
  <si>
    <r>
      <t>ข้อมูลทั่วไปสถานศึกษาที่ประเมิน รอบสาม</t>
    </r>
    <r>
      <rPr>
        <b/>
        <sz val="16"/>
        <rFont val="BrowalliaUPC"/>
        <family val="2"/>
      </rPr>
      <t xml:space="preserve"> (Update 12/6/2012)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</si>
</sst>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#,##0.0"/>
    <numFmt numFmtId="208" formatCode="&quot;*&quot;#,##0.00"/>
    <numFmt numFmtId="209" formatCode="&quot;**&quot;#,##0.00"/>
    <numFmt numFmtId="210" formatCode="#,##0.000"/>
    <numFmt numFmtId="211" formatCode="#,##0.0000"/>
    <numFmt numFmtId="212" formatCode="&quot;*&quot;\t#,##0.00"/>
    <numFmt numFmtId="213" formatCode="&quot;**&quot;\t#,##0.00"/>
    <numFmt numFmtId="214" formatCode="[$-41E]d\ mmmm\ yyyy"/>
    <numFmt numFmtId="215" formatCode="#,##0;;\ "/>
    <numFmt numFmtId="216" formatCode="&quot;**&quot;\t#,##0.000"/>
    <numFmt numFmtId="217" formatCode="&quot;**&quot;\t#,##0.0000"/>
    <numFmt numFmtId="218" formatCode="#,##0.00;;\-"/>
    <numFmt numFmtId="219" formatCode="\tGeneral"/>
    <numFmt numFmtId="220" formatCode="\t#,##0.0"/>
    <numFmt numFmtId="221" formatCode="[$-D007004]#,##0.00"/>
    <numFmt numFmtId="222" formatCode="[$-D007004]#,##0"/>
    <numFmt numFmtId="223" formatCode="[$-D007004]*#\,##0.00"/>
    <numFmt numFmtId="224" formatCode="[$-D007004]&quot;*&quot;#,##0.00"/>
    <numFmt numFmtId="225" formatCode="[$-D007004]&quot;**&quot;#,##0.00"/>
    <numFmt numFmtId="226" formatCode="[$-D007004]#,##0;;&quot;&quot;"/>
    <numFmt numFmtId="227" formatCode="[$-D007004]#,##0;;&quot;Auto-Calculate&quot;"/>
    <numFmt numFmtId="228" formatCode="[$-D007004]#,##0.00;;&quot;Auto-Calculate&quot;"/>
    <numFmt numFmtId="229" formatCode="[$-409]d\-mmm\-yy;@"/>
    <numFmt numFmtId="230" formatCode="0.0000"/>
    <numFmt numFmtId="231" formatCode="0.0"/>
    <numFmt numFmtId="232" formatCode="0.000"/>
    <numFmt numFmtId="233" formatCode="###0"/>
    <numFmt numFmtId="234" formatCode="#,##0.00000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General;;\-"/>
    <numFmt numFmtId="239" formatCode="#,##0;;\-"/>
    <numFmt numFmtId="240" formatCode="[$-D007004]0"/>
    <numFmt numFmtId="241" formatCode="[$-D007004]0.00"/>
    <numFmt numFmtId="242" formatCode="0\ &quot;ข้อ&quot;"/>
    <numFmt numFmtId="243" formatCode="0\ &quot;ด้าน&quot;"/>
    <numFmt numFmtId="244" formatCode="0\ &quot;ด้าน&quot;;;\A\u\t\o\-\c\a\l\c\u\l\a\te"/>
    <numFmt numFmtId="245" formatCode="0\ &quot;ด้าน&quot;;;&quot;Auto-calculate&quot;"/>
  </numFmts>
  <fonts count="100">
    <font>
      <sz val="11"/>
      <color theme="1"/>
      <name val="Tahoma"/>
      <family val="2"/>
    </font>
    <font>
      <sz val="16"/>
      <color indexed="8"/>
      <name val="BrowalliaUPC"/>
      <family val="2"/>
    </font>
    <font>
      <sz val="14"/>
      <color indexed="8"/>
      <name val="Browallia New"/>
      <family val="2"/>
    </font>
    <font>
      <sz val="11"/>
      <color indexed="8"/>
      <name val="Tahoma"/>
      <family val="2"/>
    </font>
    <font>
      <b/>
      <sz val="14"/>
      <color indexed="8"/>
      <name val="Browallia New"/>
      <family val="2"/>
    </font>
    <font>
      <sz val="8"/>
      <name val="Tahoma"/>
      <family val="2"/>
    </font>
    <font>
      <u val="single"/>
      <sz val="11.9"/>
      <color indexed="36"/>
      <name val="BrowalliaUPC"/>
      <family val="2"/>
    </font>
    <font>
      <u val="single"/>
      <sz val="11.9"/>
      <color indexed="12"/>
      <name val="BrowalliaUPC"/>
      <family val="2"/>
    </font>
    <font>
      <sz val="14"/>
      <name val="BrowalliaUPC"/>
      <family val="2"/>
    </font>
    <font>
      <sz val="8"/>
      <name val="BrowalliaUPC"/>
      <family val="2"/>
    </font>
    <font>
      <b/>
      <u val="single"/>
      <sz val="14"/>
      <color indexed="16"/>
      <name val="Browallia New"/>
      <family val="2"/>
    </font>
    <font>
      <b/>
      <sz val="14"/>
      <color indexed="16"/>
      <name val="BrowalliaUPC"/>
      <family val="2"/>
    </font>
    <font>
      <i/>
      <sz val="14"/>
      <color indexed="12"/>
      <name val="Browallia New"/>
      <family val="2"/>
    </font>
    <font>
      <u val="single"/>
      <sz val="14"/>
      <color indexed="8"/>
      <name val="Browallia New"/>
      <family val="2"/>
    </font>
    <font>
      <u val="single"/>
      <sz val="8"/>
      <name val="Tahoma"/>
      <family val="2"/>
    </font>
    <font>
      <i/>
      <sz val="14"/>
      <color indexed="8"/>
      <name val="Browallia New"/>
      <family val="2"/>
    </font>
    <font>
      <b/>
      <u val="single"/>
      <sz val="18"/>
      <color indexed="8"/>
      <name val="BrowalliaUPC"/>
      <family val="2"/>
    </font>
    <font>
      <b/>
      <sz val="18"/>
      <color indexed="8"/>
      <name val="BrowalliaUPC"/>
      <family val="2"/>
    </font>
    <font>
      <b/>
      <sz val="14"/>
      <color indexed="16"/>
      <name val="Browallia New"/>
      <family val="2"/>
    </font>
    <font>
      <i/>
      <sz val="14"/>
      <color indexed="12"/>
      <name val="BrowalliaUPC"/>
      <family val="2"/>
    </font>
    <font>
      <sz val="18"/>
      <color indexed="8"/>
      <name val="BrowalliaUPC"/>
      <family val="2"/>
    </font>
    <font>
      <b/>
      <sz val="16"/>
      <name val="BrowalliaUPC"/>
      <family val="2"/>
    </font>
    <font>
      <b/>
      <u val="single"/>
      <sz val="16"/>
      <name val="BrowalliaUPC"/>
      <family val="2"/>
    </font>
    <font>
      <b/>
      <sz val="14"/>
      <name val="BrowalliaUPC"/>
      <family val="2"/>
    </font>
    <font>
      <b/>
      <i/>
      <sz val="14"/>
      <color indexed="16"/>
      <name val="BrowalliaUPC"/>
      <family val="2"/>
    </font>
    <font>
      <b/>
      <u val="single"/>
      <sz val="14"/>
      <color indexed="12"/>
      <name val="BrowalliaUPC"/>
      <family val="2"/>
    </font>
    <font>
      <i/>
      <sz val="14"/>
      <name val="BrowalliaUPC"/>
      <family val="2"/>
    </font>
    <font>
      <b/>
      <i/>
      <sz val="14"/>
      <color indexed="53"/>
      <name val="BrowalliaUPC"/>
      <family val="2"/>
    </font>
    <font>
      <b/>
      <i/>
      <u val="single"/>
      <sz val="14"/>
      <color indexed="16"/>
      <name val="BrowalliaUPC"/>
      <family val="2"/>
    </font>
    <font>
      <b/>
      <sz val="14"/>
      <color indexed="12"/>
      <name val="BrowalliaUPC"/>
      <family val="2"/>
    </font>
    <font>
      <b/>
      <i/>
      <u val="single"/>
      <sz val="14"/>
      <color indexed="12"/>
      <name val="BrowalliaUPC"/>
      <family val="2"/>
    </font>
    <font>
      <b/>
      <i/>
      <sz val="14"/>
      <name val="BrowalliaUPC"/>
      <family val="2"/>
    </font>
    <font>
      <i/>
      <u val="single"/>
      <sz val="14"/>
      <color indexed="12"/>
      <name val="Browallia New"/>
      <family val="2"/>
    </font>
    <font>
      <b/>
      <u val="single"/>
      <sz val="14"/>
      <color indexed="8"/>
      <name val="Browallia New"/>
      <family val="2"/>
    </font>
    <font>
      <b/>
      <u val="single"/>
      <sz val="15"/>
      <color indexed="16"/>
      <name val="Browallia New"/>
      <family val="2"/>
    </font>
    <font>
      <b/>
      <sz val="15"/>
      <color indexed="16"/>
      <name val="BrowalliaUPC"/>
      <family val="2"/>
    </font>
    <font>
      <b/>
      <sz val="15"/>
      <color indexed="16"/>
      <name val="Browallia New"/>
      <family val="2"/>
    </font>
    <font>
      <sz val="15"/>
      <color indexed="8"/>
      <name val="Browallia New"/>
      <family val="2"/>
    </font>
    <font>
      <b/>
      <sz val="14"/>
      <color indexed="60"/>
      <name val="Browallia New"/>
      <family val="2"/>
    </font>
    <font>
      <i/>
      <u val="single"/>
      <sz val="14"/>
      <color indexed="8"/>
      <name val="BrowalliaUPC"/>
      <family val="2"/>
    </font>
    <font>
      <sz val="16"/>
      <color indexed="8"/>
      <name val="Browallia New"/>
      <family val="2"/>
    </font>
    <font>
      <sz val="14"/>
      <color indexed="8"/>
      <name val="BrowalliaUPC"/>
      <family val="2"/>
    </font>
    <font>
      <b/>
      <sz val="14"/>
      <color indexed="8"/>
      <name val="BrowalliaUPC"/>
      <family val="2"/>
    </font>
    <font>
      <i/>
      <sz val="14"/>
      <color indexed="8"/>
      <name val="BrowalliaUPC"/>
      <family val="2"/>
    </font>
    <font>
      <b/>
      <sz val="18"/>
      <color indexed="12"/>
      <name val="BrowalliaUPC"/>
      <family val="2"/>
    </font>
    <font>
      <b/>
      <u val="single"/>
      <sz val="18"/>
      <color indexed="12"/>
      <name val="BrowalliaUPC"/>
      <family val="2"/>
    </font>
    <font>
      <b/>
      <u val="single"/>
      <sz val="14"/>
      <name val="BrowalliaUPC"/>
      <family val="2"/>
    </font>
    <font>
      <sz val="16"/>
      <name val="Wingdings"/>
      <family val="0"/>
    </font>
    <font>
      <b/>
      <sz val="14"/>
      <name val="Wingdings"/>
      <family val="0"/>
    </font>
    <font>
      <i/>
      <u val="single"/>
      <sz val="14"/>
      <name val="BrowalliaUPC"/>
      <family val="2"/>
    </font>
    <font>
      <sz val="14"/>
      <color indexed="10"/>
      <name val="BrowalliaUPC"/>
      <family val="2"/>
    </font>
    <font>
      <b/>
      <sz val="16"/>
      <name val="Wingdings"/>
      <family val="0"/>
    </font>
    <font>
      <i/>
      <sz val="18"/>
      <color indexed="8"/>
      <name val="BrowalliaUPC"/>
      <family val="2"/>
    </font>
    <font>
      <sz val="16"/>
      <name val="BrowalliaUPC"/>
      <family val="2"/>
    </font>
    <font>
      <sz val="16"/>
      <color indexed="8"/>
      <name val="Wingdings"/>
      <family val="0"/>
    </font>
    <font>
      <sz val="16"/>
      <color indexed="12"/>
      <name val="Wingdings"/>
      <family val="0"/>
    </font>
    <font>
      <u val="single"/>
      <sz val="16"/>
      <color indexed="8"/>
      <name val="BrowalliaUPC"/>
      <family val="2"/>
    </font>
    <font>
      <u val="single"/>
      <sz val="14"/>
      <name val="BrowalliaUPC"/>
      <family val="2"/>
    </font>
    <font>
      <u val="single"/>
      <sz val="14"/>
      <color indexed="8"/>
      <name val="BrowalliaUPC"/>
      <family val="2"/>
    </font>
    <font>
      <i/>
      <u val="single"/>
      <sz val="14"/>
      <color indexed="10"/>
      <name val="Browallia New"/>
      <family val="2"/>
    </font>
    <font>
      <i/>
      <u val="single"/>
      <sz val="14"/>
      <color indexed="8"/>
      <name val="Browallia New"/>
      <family val="2"/>
    </font>
    <font>
      <b/>
      <u val="single"/>
      <sz val="14"/>
      <color indexed="16"/>
      <name val="BrowalliaUPC"/>
      <family val="2"/>
    </font>
    <font>
      <b/>
      <i/>
      <sz val="14"/>
      <color indexed="8"/>
      <name val="Browallia New"/>
      <family val="2"/>
    </font>
    <font>
      <sz val="16"/>
      <color indexed="9"/>
      <name val="BrowalliaUPC"/>
      <family val="2"/>
    </font>
    <font>
      <b/>
      <sz val="16"/>
      <color indexed="52"/>
      <name val="BrowalliaUPC"/>
      <family val="2"/>
    </font>
    <font>
      <sz val="16"/>
      <color indexed="10"/>
      <name val="BrowalliaUPC"/>
      <family val="2"/>
    </font>
    <font>
      <i/>
      <sz val="16"/>
      <color indexed="23"/>
      <name val="BrowalliaUPC"/>
      <family val="2"/>
    </font>
    <font>
      <b/>
      <sz val="18"/>
      <color indexed="56"/>
      <name val="Tahoma"/>
      <family val="2"/>
    </font>
    <font>
      <b/>
      <sz val="16"/>
      <color indexed="9"/>
      <name val="BrowalliaUPC"/>
      <family val="2"/>
    </font>
    <font>
      <sz val="16"/>
      <color indexed="52"/>
      <name val="BrowalliaUPC"/>
      <family val="2"/>
    </font>
    <font>
      <sz val="16"/>
      <color indexed="17"/>
      <name val="BrowalliaUPC"/>
      <family val="2"/>
    </font>
    <font>
      <sz val="16"/>
      <color indexed="62"/>
      <name val="BrowalliaUPC"/>
      <family val="2"/>
    </font>
    <font>
      <sz val="16"/>
      <color indexed="60"/>
      <name val="BrowalliaUPC"/>
      <family val="2"/>
    </font>
    <font>
      <b/>
      <sz val="16"/>
      <color indexed="8"/>
      <name val="BrowalliaUPC"/>
      <family val="2"/>
    </font>
    <font>
      <sz val="16"/>
      <color indexed="20"/>
      <name val="BrowalliaUPC"/>
      <family val="2"/>
    </font>
    <font>
      <b/>
      <sz val="16"/>
      <color indexed="63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b/>
      <sz val="14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b/>
      <sz val="16"/>
      <color rgb="FFFA7D00"/>
      <name val="BrowalliaUPC"/>
      <family val="2"/>
    </font>
    <font>
      <sz val="16"/>
      <color rgb="FFFF0000"/>
      <name val="BrowalliaUPC"/>
      <family val="2"/>
    </font>
    <font>
      <i/>
      <sz val="16"/>
      <color rgb="FF7F7F7F"/>
      <name val="BrowalliaUPC"/>
      <family val="2"/>
    </font>
    <font>
      <b/>
      <sz val="18"/>
      <color theme="3"/>
      <name val="Tahoma"/>
      <family val="2"/>
    </font>
    <font>
      <b/>
      <sz val="16"/>
      <color theme="0"/>
      <name val="BrowalliaUPC"/>
      <family val="2"/>
    </font>
    <font>
      <sz val="16"/>
      <color rgb="FFFA7D00"/>
      <name val="BrowalliaUPC"/>
      <family val="2"/>
    </font>
    <font>
      <sz val="16"/>
      <color rgb="FF006100"/>
      <name val="BrowalliaUPC"/>
      <family val="2"/>
    </font>
    <font>
      <sz val="16"/>
      <color rgb="FF3F3F76"/>
      <name val="BrowalliaUPC"/>
      <family val="2"/>
    </font>
    <font>
      <sz val="16"/>
      <color rgb="FF9C6500"/>
      <name val="BrowalliaUPC"/>
      <family val="2"/>
    </font>
    <font>
      <b/>
      <sz val="16"/>
      <color theme="1"/>
      <name val="BrowalliaUPC"/>
      <family val="2"/>
    </font>
    <font>
      <sz val="16"/>
      <color rgb="FF9C0006"/>
      <name val="BrowalliaUPC"/>
      <family val="2"/>
    </font>
    <font>
      <b/>
      <sz val="16"/>
      <color rgb="FF3F3F3F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4"/>
      <color theme="1"/>
      <name val="Browallia New"/>
      <family val="2"/>
    </font>
    <font>
      <b/>
      <sz val="14"/>
      <color rgb="FFFF0000"/>
      <name val="BrowalliaUPC"/>
      <family val="2"/>
    </font>
    <font>
      <b/>
      <sz val="8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2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2" applyNumberFormat="0" applyAlignment="0" applyProtection="0"/>
    <xf numFmtId="0" fontId="87" fillId="0" borderId="3" applyNumberFormat="0" applyFill="0" applyAlignment="0" applyProtection="0"/>
    <xf numFmtId="0" fontId="8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9" fillId="23" borderId="1" applyNumberFormat="0" applyAlignment="0" applyProtection="0"/>
    <xf numFmtId="0" fontId="90" fillId="24" borderId="0" applyNumberFormat="0" applyBorder="0" applyAlignment="0" applyProtection="0"/>
    <xf numFmtId="9" fontId="3" fillId="0" borderId="0" applyFont="0" applyFill="0" applyBorder="0" applyAlignment="0" applyProtection="0"/>
    <xf numFmtId="0" fontId="91" fillId="0" borderId="4" applyNumberFormat="0" applyFill="0" applyAlignment="0" applyProtection="0"/>
    <xf numFmtId="0" fontId="92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93" fillId="20" borderId="5" applyNumberFormat="0" applyAlignment="0" applyProtection="0"/>
    <xf numFmtId="0" fontId="3" fillId="32" borderId="6" applyNumberFormat="0" applyFont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7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46" applyFont="1" applyAlignment="1">
      <alignment horizontal="left" vertical="center"/>
      <protection/>
    </xf>
    <xf numFmtId="0" fontId="8" fillId="0" borderId="0" xfId="46">
      <alignment/>
      <protection/>
    </xf>
    <xf numFmtId="0" fontId="8" fillId="0" borderId="0" xfId="46" applyAlignment="1">
      <alignment horizontal="center"/>
      <protection/>
    </xf>
    <xf numFmtId="0" fontId="8" fillId="0" borderId="0" xfId="46" applyAlignment="1">
      <alignment horizontal="right"/>
      <protection/>
    </xf>
    <xf numFmtId="0" fontId="8" fillId="0" borderId="0" xfId="46" applyFont="1">
      <alignment/>
      <protection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33" borderId="19" xfId="0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center" vertical="top"/>
    </xf>
    <xf numFmtId="0" fontId="15" fillId="0" borderId="25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8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5" fillId="0" borderId="12" xfId="0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8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211" fontId="2" fillId="0" borderId="0" xfId="0" applyNumberFormat="1" applyFont="1" applyAlignment="1">
      <alignment/>
    </xf>
    <xf numFmtId="0" fontId="2" fillId="0" borderId="0" xfId="0" applyFont="1" applyFill="1" applyAlignment="1">
      <alignment vertical="top"/>
    </xf>
    <xf numFmtId="0" fontId="22" fillId="0" borderId="0" xfId="47" applyFont="1">
      <alignment/>
      <protection/>
    </xf>
    <xf numFmtId="0" fontId="8" fillId="0" borderId="0" xfId="47">
      <alignment/>
      <protection/>
    </xf>
    <xf numFmtId="0" fontId="23" fillId="0" borderId="0" xfId="47" applyFont="1">
      <alignment/>
      <protection/>
    </xf>
    <xf numFmtId="0" fontId="24" fillId="0" borderId="0" xfId="47" applyFont="1">
      <alignment/>
      <protection/>
    </xf>
    <xf numFmtId="0" fontId="25" fillId="0" borderId="0" xfId="47" applyFont="1" applyAlignment="1">
      <alignment horizontal="right"/>
      <protection/>
    </xf>
    <xf numFmtId="0" fontId="25" fillId="0" borderId="0" xfId="47" applyFont="1" applyAlignment="1">
      <alignment horizontal="left"/>
      <protection/>
    </xf>
    <xf numFmtId="0" fontId="26" fillId="0" borderId="0" xfId="47" applyFont="1" applyAlignment="1">
      <alignment horizontal="right"/>
      <protection/>
    </xf>
    <xf numFmtId="0" fontId="8" fillId="34" borderId="30" xfId="47" applyFont="1" applyFill="1" applyBorder="1" applyAlignment="1">
      <alignment horizontal="left"/>
      <protection/>
    </xf>
    <xf numFmtId="0" fontId="8" fillId="0" borderId="31" xfId="47" applyFont="1" applyFill="1" applyBorder="1" applyAlignment="1">
      <alignment horizontal="left"/>
      <protection/>
    </xf>
    <xf numFmtId="0" fontId="27" fillId="0" borderId="0" xfId="47" applyFont="1">
      <alignment/>
      <protection/>
    </xf>
    <xf numFmtId="0" fontId="8" fillId="0" borderId="32" xfId="47" applyFont="1" applyFill="1" applyBorder="1" applyAlignment="1">
      <alignment horizontal="left"/>
      <protection/>
    </xf>
    <xf numFmtId="0" fontId="8" fillId="0" borderId="33" xfId="47" applyFont="1" applyFill="1" applyBorder="1" applyAlignment="1">
      <alignment horizontal="left"/>
      <protection/>
    </xf>
    <xf numFmtId="0" fontId="8" fillId="0" borderId="0" xfId="47" applyAlignment="1">
      <alignment horizontal="right"/>
      <protection/>
    </xf>
    <xf numFmtId="0" fontId="23" fillId="34" borderId="30" xfId="47" applyFont="1" applyFill="1" applyBorder="1" applyAlignment="1">
      <alignment horizontal="center"/>
      <protection/>
    </xf>
    <xf numFmtId="0" fontId="23" fillId="0" borderId="30" xfId="47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4" fontId="23" fillId="34" borderId="30" xfId="47" applyNumberFormat="1" applyFont="1" applyFill="1" applyBorder="1" applyAlignment="1">
      <alignment horizontal="center"/>
      <protection/>
    </xf>
    <xf numFmtId="0" fontId="30" fillId="0" borderId="0" xfId="47" applyFont="1">
      <alignment/>
      <protection/>
    </xf>
    <xf numFmtId="218" fontId="23" fillId="34" borderId="30" xfId="47" applyNumberFormat="1" applyFont="1" applyFill="1" applyBorder="1" applyAlignment="1">
      <alignment horizontal="center"/>
      <protection/>
    </xf>
    <xf numFmtId="4" fontId="23" fillId="0" borderId="30" xfId="47" applyNumberFormat="1" applyFont="1" applyBorder="1" applyAlignment="1">
      <alignment horizontal="center"/>
      <protection/>
    </xf>
    <xf numFmtId="0" fontId="31" fillId="0" borderId="34" xfId="47" applyFont="1" applyBorder="1" applyAlignment="1">
      <alignment horizontal="right"/>
      <protection/>
    </xf>
    <xf numFmtId="14" fontId="23" fillId="34" borderId="30" xfId="47" applyNumberFormat="1" applyFont="1" applyFill="1" applyBorder="1" applyAlignment="1">
      <alignment horizontal="center"/>
      <protection/>
    </xf>
    <xf numFmtId="3" fontId="8" fillId="0" borderId="0" xfId="47" applyNumberFormat="1">
      <alignment/>
      <protection/>
    </xf>
    <xf numFmtId="0" fontId="23" fillId="0" borderId="0" xfId="47" applyFont="1" applyBorder="1" applyAlignment="1">
      <alignment horizontal="center"/>
      <protection/>
    </xf>
    <xf numFmtId="0" fontId="8" fillId="34" borderId="30" xfId="47" applyFont="1" applyFill="1" applyBorder="1">
      <alignment/>
      <protection/>
    </xf>
    <xf numFmtId="0" fontId="8" fillId="0" borderId="34" xfId="47" applyBorder="1">
      <alignment/>
      <protection/>
    </xf>
    <xf numFmtId="0" fontId="23" fillId="34" borderId="35" xfId="47" applyFont="1" applyFill="1" applyBorder="1" applyAlignment="1">
      <alignment horizontal="center"/>
      <protection/>
    </xf>
    <xf numFmtId="0" fontId="23" fillId="0" borderId="36" xfId="47" applyFont="1" applyBorder="1" applyAlignment="1">
      <alignment horizontal="center"/>
      <protection/>
    </xf>
    <xf numFmtId="0" fontId="26" fillId="0" borderId="0" xfId="47" applyFont="1" applyBorder="1" applyAlignment="1">
      <alignment horizontal="right"/>
      <protection/>
    </xf>
    <xf numFmtId="0" fontId="8" fillId="0" borderId="0" xfId="47" applyFont="1" applyBorder="1">
      <alignment/>
      <protection/>
    </xf>
    <xf numFmtId="0" fontId="8" fillId="0" borderId="0" xfId="47" applyBorder="1">
      <alignment/>
      <protection/>
    </xf>
    <xf numFmtId="0" fontId="23" fillId="0" borderId="37" xfId="47" applyFont="1" applyBorder="1" applyAlignment="1">
      <alignment horizontal="center"/>
      <protection/>
    </xf>
    <xf numFmtId="0" fontId="23" fillId="0" borderId="0" xfId="47" applyFont="1" applyBorder="1">
      <alignment/>
      <protection/>
    </xf>
    <xf numFmtId="0" fontId="8" fillId="0" borderId="38" xfId="47" applyBorder="1">
      <alignment/>
      <protection/>
    </xf>
    <xf numFmtId="0" fontId="0" fillId="0" borderId="0" xfId="0" applyAlignment="1">
      <alignment vertical="center" wrapText="1"/>
    </xf>
    <xf numFmtId="3" fontId="2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3" fillId="34" borderId="3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8" fillId="0" borderId="0" xfId="46" applyFill="1" applyAlignment="1">
      <alignment horizontal="center"/>
      <protection/>
    </xf>
    <xf numFmtId="0" fontId="8" fillId="0" borderId="0" xfId="46" applyFill="1">
      <alignment/>
      <protection/>
    </xf>
    <xf numFmtId="0" fontId="8" fillId="0" borderId="0" xfId="46" applyNumberForma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34" borderId="3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right" vertical="center" wrapText="1"/>
    </xf>
    <xf numFmtId="0" fontId="2" fillId="0" borderId="39" xfId="0" applyFont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top"/>
    </xf>
    <xf numFmtId="0" fontId="15" fillId="0" borderId="4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/>
    </xf>
    <xf numFmtId="0" fontId="2" fillId="0" borderId="28" xfId="0" applyFont="1" applyBorder="1" applyAlignment="1">
      <alignment horizontal="center" vertical="top"/>
    </xf>
    <xf numFmtId="0" fontId="15" fillId="0" borderId="41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4" fontId="2" fillId="0" borderId="34" xfId="0" applyNumberFormat="1" applyFont="1" applyBorder="1" applyAlignment="1">
      <alignment horizontal="center" vertical="top"/>
    </xf>
    <xf numFmtId="234" fontId="2" fillId="0" borderId="23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4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36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 quotePrefix="1">
      <alignment horizontal="center" vertical="top" wrapText="1"/>
    </xf>
    <xf numFmtId="4" fontId="2" fillId="0" borderId="21" xfId="0" applyNumberFormat="1" applyFont="1" applyBorder="1" applyAlignment="1" quotePrefix="1">
      <alignment horizontal="center" vertical="top" wrapText="1"/>
    </xf>
    <xf numFmtId="234" fontId="2" fillId="0" borderId="24" xfId="0" applyNumberFormat="1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15" fillId="0" borderId="10" xfId="0" applyFont="1" applyFill="1" applyBorder="1" applyAlignment="1" quotePrefix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20" xfId="0" applyFont="1" applyFill="1" applyBorder="1" applyAlignment="1" quotePrefix="1">
      <alignment horizontal="center" vertical="top"/>
    </xf>
    <xf numFmtId="0" fontId="15" fillId="0" borderId="36" xfId="0" applyFont="1" applyFill="1" applyBorder="1" applyAlignment="1">
      <alignment horizontal="center" vertical="top"/>
    </xf>
    <xf numFmtId="0" fontId="2" fillId="33" borderId="42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top"/>
    </xf>
    <xf numFmtId="0" fontId="2" fillId="35" borderId="19" xfId="0" applyFont="1" applyFill="1" applyBorder="1" applyAlignment="1">
      <alignment horizontal="center" vertical="top"/>
    </xf>
    <xf numFmtId="0" fontId="2" fillId="35" borderId="18" xfId="0" applyFont="1" applyFill="1" applyBorder="1" applyAlignment="1">
      <alignment horizontal="center" vertical="top"/>
    </xf>
    <xf numFmtId="0" fontId="34" fillId="0" borderId="16" xfId="0" applyFont="1" applyBorder="1" applyAlignment="1">
      <alignment horizontal="center" vertical="top"/>
    </xf>
    <xf numFmtId="0" fontId="35" fillId="0" borderId="38" xfId="0" applyFont="1" applyFill="1" applyBorder="1" applyAlignment="1">
      <alignment horizontal="left" vertical="top"/>
    </xf>
    <xf numFmtId="0" fontId="36" fillId="0" borderId="26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/>
    </xf>
    <xf numFmtId="4" fontId="37" fillId="0" borderId="26" xfId="0" applyNumberFormat="1" applyFont="1" applyBorder="1" applyAlignment="1">
      <alignment horizontal="center" vertical="top" wrapText="1"/>
    </xf>
    <xf numFmtId="4" fontId="37" fillId="0" borderId="43" xfId="0" applyNumberFormat="1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/>
    </xf>
    <xf numFmtId="0" fontId="37" fillId="0" borderId="43" xfId="0" applyFont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4" fontId="37" fillId="0" borderId="43" xfId="0" applyNumberFormat="1" applyFont="1" applyBorder="1" applyAlignment="1">
      <alignment horizontal="center" vertical="top"/>
    </xf>
    <xf numFmtId="4" fontId="37" fillId="0" borderId="44" xfId="0" applyNumberFormat="1" applyFont="1" applyBorder="1" applyAlignment="1">
      <alignment horizontal="center" vertical="top"/>
    </xf>
    <xf numFmtId="234" fontId="37" fillId="0" borderId="44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vertical="top"/>
    </xf>
    <xf numFmtId="0" fontId="15" fillId="0" borderId="36" xfId="0" applyFont="1" applyFill="1" applyBorder="1" applyAlignment="1" quotePrefix="1">
      <alignment horizontal="center" vertical="top"/>
    </xf>
    <xf numFmtId="4" fontId="2" fillId="0" borderId="36" xfId="0" applyNumberFormat="1" applyFont="1" applyBorder="1" applyAlignment="1" quotePrefix="1">
      <alignment horizontal="center" vertical="top" wrapText="1"/>
    </xf>
    <xf numFmtId="0" fontId="2" fillId="35" borderId="15" xfId="0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/>
    </xf>
    <xf numFmtId="0" fontId="15" fillId="0" borderId="11" xfId="0" applyFont="1" applyFill="1" applyBorder="1" applyAlignment="1" quotePrefix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4" fontId="2" fillId="0" borderId="45" xfId="0" applyNumberFormat="1" applyFont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top"/>
    </xf>
    <xf numFmtId="0" fontId="15" fillId="0" borderId="45" xfId="0" applyFont="1" applyFill="1" applyBorder="1" applyAlignment="1">
      <alignment horizontal="center" vertical="top"/>
    </xf>
    <xf numFmtId="4" fontId="2" fillId="35" borderId="20" xfId="0" applyNumberFormat="1" applyFont="1" applyFill="1" applyBorder="1" applyAlignment="1" quotePrefix="1">
      <alignment horizontal="center" vertical="top" wrapText="1"/>
    </xf>
    <xf numFmtId="4" fontId="2" fillId="35" borderId="21" xfId="0" applyNumberFormat="1" applyFont="1" applyFill="1" applyBorder="1" applyAlignment="1" quotePrefix="1">
      <alignment horizontal="center" vertical="top" wrapText="1"/>
    </xf>
    <xf numFmtId="0" fontId="11" fillId="0" borderId="38" xfId="0" applyFont="1" applyBorder="1" applyAlignment="1">
      <alignment horizontal="left" vertical="top"/>
    </xf>
    <xf numFmtId="4" fontId="2" fillId="0" borderId="14" xfId="0" applyNumberFormat="1" applyFont="1" applyFill="1" applyBorder="1" applyAlignment="1">
      <alignment horizontal="center" vertical="top" wrapText="1"/>
    </xf>
    <xf numFmtId="211" fontId="4" fillId="36" borderId="47" xfId="0" applyNumberFormat="1" applyFont="1" applyFill="1" applyBorder="1" applyAlignment="1">
      <alignment horizontal="center" vertical="center" wrapText="1"/>
    </xf>
    <xf numFmtId="211" fontId="2" fillId="0" borderId="48" xfId="0" applyNumberFormat="1" applyFont="1" applyBorder="1" applyAlignment="1">
      <alignment horizontal="center" vertical="top"/>
    </xf>
    <xf numFmtId="211" fontId="2" fillId="0" borderId="49" xfId="0" applyNumberFormat="1" applyFont="1" applyBorder="1" applyAlignment="1">
      <alignment horizontal="center" vertical="top"/>
    </xf>
    <xf numFmtId="211" fontId="2" fillId="0" borderId="50" xfId="0" applyNumberFormat="1" applyFont="1" applyBorder="1" applyAlignment="1">
      <alignment horizontal="center" vertical="top"/>
    </xf>
    <xf numFmtId="211" fontId="2" fillId="0" borderId="51" xfId="0" applyNumberFormat="1" applyFont="1" applyBorder="1" applyAlignment="1">
      <alignment horizontal="center" vertical="top"/>
    </xf>
    <xf numFmtId="211" fontId="2" fillId="0" borderId="49" xfId="0" applyNumberFormat="1" applyFont="1" applyFill="1" applyBorder="1" applyAlignment="1">
      <alignment horizontal="center" vertical="top"/>
    </xf>
    <xf numFmtId="211" fontId="2" fillId="0" borderId="52" xfId="0" applyNumberFormat="1" applyFont="1" applyBorder="1" applyAlignment="1">
      <alignment horizontal="center" vertical="top"/>
    </xf>
    <xf numFmtId="4" fontId="2" fillId="0" borderId="53" xfId="0" applyNumberFormat="1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34" borderId="57" xfId="0" applyFont="1" applyFill="1" applyBorder="1" applyAlignment="1">
      <alignment horizontal="center" vertical="top"/>
    </xf>
    <xf numFmtId="0" fontId="2" fillId="34" borderId="58" xfId="0" applyFont="1" applyFill="1" applyBorder="1" applyAlignment="1">
      <alignment horizontal="center" vertical="top"/>
    </xf>
    <xf numFmtId="0" fontId="2" fillId="34" borderId="42" xfId="0" applyFont="1" applyFill="1" applyBorder="1" applyAlignment="1">
      <alignment horizontal="center" vertical="top"/>
    </xf>
    <xf numFmtId="4" fontId="8" fillId="0" borderId="21" xfId="48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>
      <alignment horizontal="center" vertical="top"/>
    </xf>
    <xf numFmtId="4" fontId="18" fillId="0" borderId="59" xfId="0" applyNumberFormat="1" applyFont="1" applyBorder="1" applyAlignment="1">
      <alignment horizontal="center" vertical="top"/>
    </xf>
    <xf numFmtId="4" fontId="18" fillId="0" borderId="47" xfId="0" applyNumberFormat="1" applyFont="1" applyBorder="1" applyAlignment="1">
      <alignment horizontal="center" vertical="top"/>
    </xf>
    <xf numFmtId="211" fontId="2" fillId="37" borderId="51" xfId="0" applyNumberFormat="1" applyFont="1" applyFill="1" applyBorder="1" applyAlignment="1">
      <alignment horizontal="center" vertical="top"/>
    </xf>
    <xf numFmtId="0" fontId="4" fillId="33" borderId="6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2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0" fontId="11" fillId="0" borderId="32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8" fillId="0" borderId="41" xfId="49" applyFont="1" applyBorder="1" applyAlignment="1">
      <alignment horizontal="left" vertical="top" wrapText="1" indent="2"/>
      <protection/>
    </xf>
    <xf numFmtId="0" fontId="8" fillId="0" borderId="41" xfId="49" applyBorder="1" applyAlignment="1">
      <alignment horizontal="left" vertical="top" wrapText="1" indent="2"/>
      <protection/>
    </xf>
    <xf numFmtId="0" fontId="8" fillId="0" borderId="22" xfId="49" applyFont="1" applyBorder="1" applyAlignment="1">
      <alignment horizontal="left" vertical="top" wrapText="1" indent="2"/>
      <protection/>
    </xf>
    <xf numFmtId="0" fontId="13" fillId="0" borderId="19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4" fontId="2" fillId="37" borderId="61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4" fontId="2" fillId="0" borderId="46" xfId="0" applyNumberFormat="1" applyFont="1" applyBorder="1" applyAlignment="1">
      <alignment horizontal="center" vertical="top"/>
    </xf>
    <xf numFmtId="211" fontId="2" fillId="37" borderId="52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3" fontId="18" fillId="0" borderId="51" xfId="0" applyNumberFormat="1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 wrapText="1"/>
    </xf>
    <xf numFmtId="4" fontId="2" fillId="34" borderId="36" xfId="0" applyNumberFormat="1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211" fontId="18" fillId="0" borderId="63" xfId="0" applyNumberFormat="1" applyFont="1" applyBorder="1" applyAlignment="1">
      <alignment horizontal="center" vertical="top"/>
    </xf>
    <xf numFmtId="3" fontId="2" fillId="0" borderId="21" xfId="0" applyNumberFormat="1" applyFont="1" applyBorder="1" applyAlignment="1">
      <alignment horizontal="center" vertical="top"/>
    </xf>
    <xf numFmtId="3" fontId="38" fillId="0" borderId="21" xfId="0" applyNumberFormat="1" applyFont="1" applyBorder="1" applyAlignment="1">
      <alignment horizontal="center" vertical="top"/>
    </xf>
    <xf numFmtId="4" fontId="38" fillId="0" borderId="19" xfId="0" applyNumberFormat="1" applyFont="1" applyBorder="1" applyAlignment="1">
      <alignment horizontal="center" vertical="top"/>
    </xf>
    <xf numFmtId="211" fontId="38" fillId="0" borderId="51" xfId="0" applyNumberFormat="1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3" fontId="38" fillId="0" borderId="43" xfId="0" applyNumberFormat="1" applyFont="1" applyBorder="1" applyAlignment="1">
      <alignment horizontal="center" vertical="top"/>
    </xf>
    <xf numFmtId="0" fontId="39" fillId="0" borderId="33" xfId="0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vertical="top"/>
    </xf>
    <xf numFmtId="0" fontId="2" fillId="0" borderId="45" xfId="0" applyFont="1" applyBorder="1" applyAlignment="1">
      <alignment horizontal="center" vertical="top"/>
    </xf>
    <xf numFmtId="0" fontId="2" fillId="0" borderId="64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/>
    </xf>
    <xf numFmtId="4" fontId="2" fillId="0" borderId="64" xfId="0" applyNumberFormat="1" applyFont="1" applyBorder="1" applyAlignment="1">
      <alignment horizontal="center" vertical="top"/>
    </xf>
    <xf numFmtId="211" fontId="2" fillId="37" borderId="48" xfId="0" applyNumberFormat="1" applyFont="1" applyFill="1" applyBorder="1" applyAlignment="1">
      <alignment horizontal="center" vertical="top"/>
    </xf>
    <xf numFmtId="211" fontId="2" fillId="37" borderId="66" xfId="0" applyNumberFormat="1" applyFont="1" applyFill="1" applyBorder="1" applyAlignment="1">
      <alignment horizontal="center" vertical="top"/>
    </xf>
    <xf numFmtId="0" fontId="18" fillId="0" borderId="18" xfId="0" applyFont="1" applyBorder="1" applyAlignment="1">
      <alignment horizontal="center" vertical="top" wrapText="1"/>
    </xf>
    <xf numFmtId="0" fontId="8" fillId="0" borderId="0" xfId="46" applyFont="1" applyAlignment="1">
      <alignment horizontal="right"/>
      <protection/>
    </xf>
    <xf numFmtId="0" fontId="40" fillId="0" borderId="0" xfId="0" applyFont="1" applyBorder="1" applyAlignment="1">
      <alignment horizontal="center" vertical="top" wrapText="1"/>
    </xf>
    <xf numFmtId="0" fontId="8" fillId="0" borderId="0" xfId="46" applyBorder="1">
      <alignment/>
      <protection/>
    </xf>
    <xf numFmtId="0" fontId="8" fillId="0" borderId="0" xfId="46" applyFont="1" applyAlignment="1">
      <alignment horizontal="center"/>
      <protection/>
    </xf>
    <xf numFmtId="0" fontId="4" fillId="36" borderId="59" xfId="0" applyFont="1" applyFill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top"/>
    </xf>
    <xf numFmtId="3" fontId="37" fillId="0" borderId="67" xfId="0" applyNumberFormat="1" applyFont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3" fontId="15" fillId="34" borderId="41" xfId="0" applyNumberFormat="1" applyFont="1" applyFill="1" applyBorder="1" applyAlignment="1">
      <alignment horizontal="center" vertical="top"/>
    </xf>
    <xf numFmtId="3" fontId="15" fillId="34" borderId="25" xfId="0" applyNumberFormat="1" applyFont="1" applyFill="1" applyBorder="1" applyAlignment="1">
      <alignment horizontal="center" vertical="top"/>
    </xf>
    <xf numFmtId="3" fontId="15" fillId="34" borderId="46" xfId="0" applyNumberFormat="1" applyFont="1" applyFill="1" applyBorder="1" applyAlignment="1">
      <alignment horizontal="center" vertical="top"/>
    </xf>
    <xf numFmtId="3" fontId="15" fillId="34" borderId="29" xfId="0" applyNumberFormat="1" applyFont="1" applyFill="1" applyBorder="1" applyAlignment="1">
      <alignment horizontal="center" vertical="top"/>
    </xf>
    <xf numFmtId="4" fontId="41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 wrapText="1"/>
    </xf>
    <xf numFmtId="211" fontId="41" fillId="0" borderId="0" xfId="0" applyNumberFormat="1" applyFont="1" applyAlignment="1">
      <alignment wrapText="1"/>
    </xf>
    <xf numFmtId="4" fontId="11" fillId="0" borderId="44" xfId="0" applyNumberFormat="1" applyFont="1" applyBorder="1" applyAlignment="1">
      <alignment horizontal="center" vertical="top" wrapText="1"/>
    </xf>
    <xf numFmtId="4" fontId="41" fillId="0" borderId="23" xfId="0" applyNumberFormat="1" applyFont="1" applyBorder="1" applyAlignment="1">
      <alignment horizontal="center" vertical="top" wrapText="1"/>
    </xf>
    <xf numFmtId="211" fontId="41" fillId="0" borderId="23" xfId="0" applyNumberFormat="1" applyFont="1" applyBorder="1" applyAlignment="1">
      <alignment horizontal="center" vertical="top" wrapText="1"/>
    </xf>
    <xf numFmtId="4" fontId="43" fillId="0" borderId="68" xfId="0" applyNumberFormat="1" applyFont="1" applyBorder="1" applyAlignment="1">
      <alignment horizontal="center" vertical="top" wrapText="1"/>
    </xf>
    <xf numFmtId="211" fontId="43" fillId="0" borderId="68" xfId="0" applyNumberFormat="1" applyFont="1" applyBorder="1" applyAlignment="1">
      <alignment horizontal="center" vertical="top" wrapText="1"/>
    </xf>
    <xf numFmtId="4" fontId="43" fillId="0" borderId="69" xfId="0" applyNumberFormat="1" applyFont="1" applyBorder="1" applyAlignment="1">
      <alignment horizontal="center" vertical="top" wrapText="1"/>
    </xf>
    <xf numFmtId="211" fontId="43" fillId="0" borderId="69" xfId="0" applyNumberFormat="1" applyFont="1" applyBorder="1" applyAlignment="1">
      <alignment horizontal="center" vertical="top" wrapText="1"/>
    </xf>
    <xf numFmtId="4" fontId="41" fillId="0" borderId="24" xfId="0" applyNumberFormat="1" applyFont="1" applyBorder="1" applyAlignment="1">
      <alignment horizontal="center" vertical="top" wrapText="1"/>
    </xf>
    <xf numFmtId="211" fontId="41" fillId="0" borderId="24" xfId="0" applyNumberFormat="1" applyFont="1" applyBorder="1" applyAlignment="1">
      <alignment horizontal="center" vertical="top" wrapText="1"/>
    </xf>
    <xf numFmtId="4" fontId="43" fillId="0" borderId="70" xfId="0" applyNumberFormat="1" applyFont="1" applyBorder="1" applyAlignment="1">
      <alignment horizontal="center" vertical="top" wrapText="1"/>
    </xf>
    <xf numFmtId="211" fontId="43" fillId="0" borderId="70" xfId="0" applyNumberFormat="1" applyFont="1" applyBorder="1" applyAlignment="1">
      <alignment horizontal="center" vertical="top" wrapText="1"/>
    </xf>
    <xf numFmtId="0" fontId="45" fillId="0" borderId="0" xfId="47" applyFont="1" applyAlignment="1">
      <alignment vertical="center"/>
      <protection/>
    </xf>
    <xf numFmtId="0" fontId="8" fillId="0" borderId="0" xfId="47" applyAlignment="1">
      <alignment horizontal="center" vertical="center"/>
      <protection/>
    </xf>
    <xf numFmtId="0" fontId="8" fillId="0" borderId="0" xfId="47" applyAlignment="1">
      <alignment vertical="center"/>
      <protection/>
    </xf>
    <xf numFmtId="0" fontId="23" fillId="0" borderId="0" xfId="47" applyFont="1" applyAlignment="1">
      <alignment horizontal="center" vertical="center"/>
      <protection/>
    </xf>
    <xf numFmtId="0" fontId="23" fillId="0" borderId="0" xfId="47" applyFont="1" applyAlignment="1">
      <alignment horizontal="center" vertical="center"/>
      <protection/>
    </xf>
    <xf numFmtId="3" fontId="8" fillId="0" borderId="0" xfId="47" applyNumberFormat="1" applyAlignment="1">
      <alignment vertical="center"/>
      <protection/>
    </xf>
    <xf numFmtId="0" fontId="46" fillId="0" borderId="71" xfId="47" applyFont="1" applyBorder="1" applyAlignment="1">
      <alignment vertical="center" wrapText="1"/>
      <protection/>
    </xf>
    <xf numFmtId="0" fontId="25" fillId="1" borderId="72" xfId="47" applyFont="1" applyFill="1" applyBorder="1" applyAlignment="1">
      <alignment vertical="center"/>
      <protection/>
    </xf>
    <xf numFmtId="4" fontId="8" fillId="1" borderId="15" xfId="47" applyNumberFormat="1" applyFill="1" applyBorder="1" applyAlignment="1">
      <alignment horizontal="center" vertical="center"/>
      <protection/>
    </xf>
    <xf numFmtId="4" fontId="8" fillId="1" borderId="53" xfId="47" applyNumberFormat="1" applyFill="1" applyBorder="1" applyAlignment="1">
      <alignment horizontal="center" vertical="center"/>
      <protection/>
    </xf>
    <xf numFmtId="0" fontId="46" fillId="0" borderId="0" xfId="47" applyFont="1" applyFill="1" applyBorder="1" applyAlignment="1">
      <alignment vertical="center" wrapText="1"/>
      <protection/>
    </xf>
    <xf numFmtId="4" fontId="8" fillId="0" borderId="0" xfId="47" applyNumberFormat="1" applyFill="1" applyBorder="1" applyAlignment="1">
      <alignment horizontal="center" vertical="center"/>
      <protection/>
    </xf>
    <xf numFmtId="0" fontId="8" fillId="0" borderId="0" xfId="47" applyFill="1" applyBorder="1" applyAlignment="1">
      <alignment horizontal="center" vertical="center"/>
      <protection/>
    </xf>
    <xf numFmtId="0" fontId="23" fillId="0" borderId="0" xfId="47" applyFont="1" applyFill="1" applyAlignment="1">
      <alignment horizontal="center" vertical="center"/>
      <protection/>
    </xf>
    <xf numFmtId="0" fontId="23" fillId="0" borderId="0" xfId="47" applyFont="1" applyFill="1" applyAlignment="1">
      <alignment horizontal="center" vertical="center"/>
      <protection/>
    </xf>
    <xf numFmtId="0" fontId="8" fillId="0" borderId="0" xfId="47" applyFill="1" applyAlignment="1">
      <alignment vertical="center"/>
      <protection/>
    </xf>
    <xf numFmtId="0" fontId="23" fillId="0" borderId="0" xfId="47" applyFont="1" applyFill="1" applyBorder="1" applyAlignment="1">
      <alignment vertical="center"/>
      <protection/>
    </xf>
    <xf numFmtId="0" fontId="8" fillId="0" borderId="0" xfId="47" applyFill="1" applyBorder="1" applyAlignment="1">
      <alignment horizontal="left" vertical="center"/>
      <protection/>
    </xf>
    <xf numFmtId="4" fontId="8" fillId="0" borderId="0" xfId="47" applyNumberFormat="1" applyBorder="1" applyAlignment="1">
      <alignment horizontal="center" vertical="center"/>
      <protection/>
    </xf>
    <xf numFmtId="0" fontId="8" fillId="0" borderId="0" xfId="47" applyBorder="1" applyAlignment="1">
      <alignment horizontal="left" vertical="center"/>
      <protection/>
    </xf>
    <xf numFmtId="0" fontId="8" fillId="0" borderId="0" xfId="47" applyBorder="1" applyAlignment="1">
      <alignment horizontal="center" vertical="center"/>
      <protection/>
    </xf>
    <xf numFmtId="0" fontId="46" fillId="0" borderId="0" xfId="47" applyFont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3" fillId="0" borderId="67" xfId="47" applyFont="1" applyFill="1" applyBorder="1" applyAlignment="1">
      <alignment horizontal="center" vertical="center"/>
      <protection/>
    </xf>
    <xf numFmtId="0" fontId="23" fillId="0" borderId="13" xfId="47" applyFont="1" applyFill="1" applyBorder="1" applyAlignment="1">
      <alignment horizontal="center" vertical="center"/>
      <protection/>
    </xf>
    <xf numFmtId="0" fontId="48" fillId="0" borderId="0" xfId="47" applyFont="1" applyAlignment="1">
      <alignment horizontal="center" vertical="center"/>
      <protection/>
    </xf>
    <xf numFmtId="221" fontId="8" fillId="0" borderId="25" xfId="47" applyNumberFormat="1" applyBorder="1" applyAlignment="1">
      <alignment horizontal="center" vertical="center"/>
      <protection/>
    </xf>
    <xf numFmtId="0" fontId="8" fillId="1" borderId="51" xfId="47" applyFill="1" applyBorder="1" applyAlignment="1">
      <alignment horizontal="center" vertical="center"/>
      <protection/>
    </xf>
    <xf numFmtId="0" fontId="47" fillId="0" borderId="29" xfId="47" applyFont="1" applyBorder="1" applyAlignment="1">
      <alignment horizontal="center" vertical="center"/>
      <protection/>
    </xf>
    <xf numFmtId="0" fontId="47" fillId="0" borderId="52" xfId="47" applyFont="1" applyBorder="1" applyAlignment="1">
      <alignment horizontal="center" vertical="center"/>
      <protection/>
    </xf>
    <xf numFmtId="0" fontId="8" fillId="0" borderId="0" xfId="47" applyAlignment="1">
      <alignment vertical="center" wrapText="1"/>
      <protection/>
    </xf>
    <xf numFmtId="0" fontId="49" fillId="0" borderId="0" xfId="47" applyFont="1" applyAlignment="1">
      <alignment vertical="center"/>
      <protection/>
    </xf>
    <xf numFmtId="0" fontId="8" fillId="0" borderId="0" xfId="47" applyAlignment="1">
      <alignment horizontal="left" vertical="center"/>
      <protection/>
    </xf>
    <xf numFmtId="0" fontId="24" fillId="0" borderId="0" xfId="47" applyFont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3" fillId="34" borderId="30" xfId="47" applyFont="1" applyFill="1" applyBorder="1" applyAlignment="1">
      <alignment horizontal="center" vertical="center" wrapText="1"/>
      <protection/>
    </xf>
    <xf numFmtId="4" fontId="8" fillId="0" borderId="0" xfId="47" applyNumberFormat="1" applyAlignment="1">
      <alignment horizontal="center" vertical="center"/>
      <protection/>
    </xf>
    <xf numFmtId="0" fontId="46" fillId="0" borderId="0" xfId="47" applyFont="1">
      <alignment/>
      <protection/>
    </xf>
    <xf numFmtId="3" fontId="23" fillId="0" borderId="0" xfId="47" applyNumberFormat="1" applyFont="1" applyAlignment="1">
      <alignment horizontal="center" vertical="center"/>
      <protection/>
    </xf>
    <xf numFmtId="4" fontId="8" fillId="0" borderId="0" xfId="47" applyNumberFormat="1">
      <alignment/>
      <protection/>
    </xf>
    <xf numFmtId="0" fontId="21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 wrapText="1"/>
      <protection/>
    </xf>
    <xf numFmtId="0" fontId="23" fillId="0" borderId="0" xfId="47" applyFont="1" applyAlignment="1">
      <alignment vertical="center"/>
      <protection/>
    </xf>
    <xf numFmtId="4" fontId="23" fillId="0" borderId="0" xfId="47" applyNumberFormat="1" applyFont="1">
      <alignment/>
      <protection/>
    </xf>
    <xf numFmtId="0" fontId="21" fillId="0" borderId="0" xfId="47" applyFont="1" applyAlignment="1">
      <alignment/>
      <protection/>
    </xf>
    <xf numFmtId="0" fontId="2" fillId="0" borderId="0" xfId="0" applyFont="1" applyAlignment="1">
      <alignment horizontal="right"/>
    </xf>
    <xf numFmtId="0" fontId="46" fillId="0" borderId="0" xfId="47" applyFont="1" applyBorder="1" applyAlignment="1">
      <alignment horizontal="center" vertical="center" wrapText="1"/>
      <protection/>
    </xf>
    <xf numFmtId="221" fontId="8" fillId="0" borderId="0" xfId="47" applyNumberFormat="1" applyBorder="1" applyAlignment="1">
      <alignment horizontal="center" vertical="center"/>
      <protection/>
    </xf>
    <xf numFmtId="0" fontId="25" fillId="0" borderId="71" xfId="47" applyFont="1" applyFill="1" applyBorder="1" applyAlignment="1">
      <alignment vertical="center"/>
      <protection/>
    </xf>
    <xf numFmtId="0" fontId="8" fillId="0" borderId="41" xfId="47" applyFill="1" applyBorder="1" applyAlignment="1">
      <alignment horizontal="center" vertical="center"/>
      <protection/>
    </xf>
    <xf numFmtId="0" fontId="8" fillId="0" borderId="54" xfId="47" applyFill="1" applyBorder="1" applyAlignment="1">
      <alignment horizontal="center" vertical="center"/>
      <protection/>
    </xf>
    <xf numFmtId="0" fontId="8" fillId="0" borderId="49" xfId="47" applyFill="1" applyBorder="1" applyAlignment="1">
      <alignment horizontal="center" vertical="center"/>
      <protection/>
    </xf>
    <xf numFmtId="0" fontId="23" fillId="0" borderId="26" xfId="47" applyFont="1" applyFill="1" applyBorder="1" applyAlignment="1">
      <alignment horizontal="center" vertical="center"/>
      <protection/>
    </xf>
    <xf numFmtId="4" fontId="8" fillId="1" borderId="48" xfId="47" applyNumberFormat="1" applyFill="1" applyBorder="1" applyAlignment="1">
      <alignment vertical="center" wrapText="1"/>
      <protection/>
    </xf>
    <xf numFmtId="0" fontId="23" fillId="0" borderId="40" xfId="47" applyFont="1" applyFill="1" applyBorder="1" applyAlignment="1">
      <alignment horizontal="center" vertical="center" wrapText="1"/>
      <protection/>
    </xf>
    <xf numFmtId="0" fontId="23" fillId="0" borderId="50" xfId="47" applyFont="1" applyFill="1" applyBorder="1" applyAlignment="1">
      <alignment horizontal="center" vertical="center" wrapText="1"/>
      <protection/>
    </xf>
    <xf numFmtId="0" fontId="23" fillId="0" borderId="0" xfId="47" applyFont="1" applyBorder="1" applyAlignment="1">
      <alignment horizontal="center" vertical="center" wrapText="1"/>
      <protection/>
    </xf>
    <xf numFmtId="0" fontId="47" fillId="0" borderId="0" xfId="47" applyFont="1" applyBorder="1" applyAlignment="1">
      <alignment horizontal="center" vertical="center"/>
      <protection/>
    </xf>
    <xf numFmtId="0" fontId="23" fillId="0" borderId="73" xfId="47" applyFont="1" applyFill="1" applyBorder="1" applyAlignment="1">
      <alignment horizontal="center" vertical="center"/>
      <protection/>
    </xf>
    <xf numFmtId="221" fontId="8" fillId="0" borderId="0" xfId="47" applyNumberFormat="1" applyFont="1" applyBorder="1" applyAlignment="1">
      <alignment horizontal="right" vertical="center"/>
      <protection/>
    </xf>
    <xf numFmtId="221" fontId="23" fillId="0" borderId="29" xfId="47" applyNumberFormat="1" applyFont="1" applyBorder="1" applyAlignment="1">
      <alignment horizontal="center" vertical="center"/>
      <protection/>
    </xf>
    <xf numFmtId="0" fontId="23" fillId="0" borderId="0" xfId="47" applyFont="1" applyAlignment="1">
      <alignment vertical="center"/>
      <protection/>
    </xf>
    <xf numFmtId="221" fontId="23" fillId="0" borderId="39" xfId="47" applyNumberFormat="1" applyFont="1" applyBorder="1" applyAlignment="1">
      <alignment horizontal="center" vertical="center"/>
      <protection/>
    </xf>
    <xf numFmtId="221" fontId="23" fillId="0" borderId="29" xfId="47" applyNumberFormat="1" applyFont="1" applyBorder="1" applyAlignment="1">
      <alignment horizontal="center" vertical="center"/>
      <protection/>
    </xf>
    <xf numFmtId="221" fontId="23" fillId="0" borderId="39" xfId="47" applyNumberFormat="1" applyFont="1" applyBorder="1" applyAlignment="1">
      <alignment horizontal="center" vertical="center"/>
      <protection/>
    </xf>
    <xf numFmtId="0" fontId="42" fillId="0" borderId="0" xfId="47" applyFont="1" applyAlignment="1">
      <alignment vertical="center"/>
      <protection/>
    </xf>
    <xf numFmtId="0" fontId="41" fillId="0" borderId="0" xfId="47" applyFont="1" applyAlignment="1">
      <alignment horizontal="left" vertical="center"/>
      <protection/>
    </xf>
    <xf numFmtId="0" fontId="43" fillId="0" borderId="0" xfId="47" applyFont="1" applyAlignment="1">
      <alignment vertical="center"/>
      <protection/>
    </xf>
    <xf numFmtId="0" fontId="41" fillId="0" borderId="0" xfId="47" applyFont="1" applyAlignment="1">
      <alignment horizontal="left" vertical="center"/>
      <protection/>
    </xf>
    <xf numFmtId="0" fontId="43" fillId="0" borderId="0" xfId="47" applyFont="1" applyAlignment="1">
      <alignment horizontal="right" vertical="center"/>
      <protection/>
    </xf>
    <xf numFmtId="0" fontId="46" fillId="0" borderId="71" xfId="47" applyFont="1" applyBorder="1" applyAlignment="1">
      <alignment horizontal="center" vertical="center" wrapText="1"/>
      <protection/>
    </xf>
    <xf numFmtId="0" fontId="23" fillId="0" borderId="73" xfId="47" applyFont="1" applyFill="1" applyBorder="1" applyAlignment="1">
      <alignment horizontal="center" vertical="top"/>
      <protection/>
    </xf>
    <xf numFmtId="0" fontId="23" fillId="0" borderId="13" xfId="47" applyFont="1" applyFill="1" applyBorder="1" applyAlignment="1">
      <alignment horizontal="center" vertical="top"/>
      <protection/>
    </xf>
    <xf numFmtId="0" fontId="8" fillId="0" borderId="74" xfId="47" applyFont="1" applyBorder="1" applyAlignment="1">
      <alignment horizontal="left" vertical="center" wrapText="1"/>
      <protection/>
    </xf>
    <xf numFmtId="0" fontId="25" fillId="1" borderId="23" xfId="47" applyFont="1" applyFill="1" applyBorder="1" applyAlignment="1">
      <alignment vertical="center"/>
      <protection/>
    </xf>
    <xf numFmtId="0" fontId="23" fillId="0" borderId="68" xfId="47" applyFont="1" applyBorder="1" applyAlignment="1">
      <alignment vertical="center" wrapText="1"/>
      <protection/>
    </xf>
    <xf numFmtId="0" fontId="46" fillId="0" borderId="71" xfId="47" applyFont="1" applyBorder="1" applyAlignment="1">
      <alignment horizontal="center" vertical="center" wrapText="1"/>
      <protection/>
    </xf>
    <xf numFmtId="0" fontId="46" fillId="0" borderId="75" xfId="47" applyFont="1" applyFill="1" applyBorder="1" applyAlignment="1">
      <alignment horizontal="center" vertical="center" wrapText="1"/>
      <protection/>
    </xf>
    <xf numFmtId="0" fontId="23" fillId="0" borderId="76" xfId="47" applyFont="1" applyBorder="1" applyAlignment="1">
      <alignment horizontal="center" vertical="top"/>
      <protection/>
    </xf>
    <xf numFmtId="0" fontId="23" fillId="0" borderId="63" xfId="47" applyFont="1" applyBorder="1" applyAlignment="1">
      <alignment horizontal="center" vertical="top"/>
      <protection/>
    </xf>
    <xf numFmtId="0" fontId="23" fillId="0" borderId="16" xfId="47" applyFont="1" applyBorder="1" applyAlignment="1">
      <alignment horizontal="center"/>
      <protection/>
    </xf>
    <xf numFmtId="0" fontId="23" fillId="0" borderId="59" xfId="47" applyFont="1" applyBorder="1" applyAlignment="1">
      <alignment horizontal="center"/>
      <protection/>
    </xf>
    <xf numFmtId="0" fontId="23" fillId="0" borderId="47" xfId="47" applyFont="1" applyBorder="1" applyAlignment="1">
      <alignment horizontal="center"/>
      <protection/>
    </xf>
    <xf numFmtId="0" fontId="23" fillId="0" borderId="12" xfId="47" applyFont="1" applyBorder="1" applyAlignment="1">
      <alignment horizontal="center" vertical="top"/>
      <protection/>
    </xf>
    <xf numFmtId="0" fontId="25" fillId="1" borderId="60" xfId="47" applyFont="1" applyFill="1" applyBorder="1" applyAlignment="1">
      <alignment vertical="center"/>
      <protection/>
    </xf>
    <xf numFmtId="0" fontId="25" fillId="1" borderId="24" xfId="47" applyFont="1" applyFill="1" applyBorder="1" applyAlignment="1">
      <alignment vertical="center"/>
      <protection/>
    </xf>
    <xf numFmtId="0" fontId="8" fillId="1" borderId="19" xfId="47" applyFill="1" applyBorder="1" applyAlignment="1">
      <alignment horizontal="center" vertical="center"/>
      <protection/>
    </xf>
    <xf numFmtId="0" fontId="8" fillId="1" borderId="61" xfId="47" applyFill="1" applyBorder="1" applyAlignment="1">
      <alignment horizontal="center" vertical="center"/>
      <protection/>
    </xf>
    <xf numFmtId="0" fontId="8" fillId="0" borderId="0" xfId="47" applyFill="1" applyAlignment="1">
      <alignment horizontal="center" vertical="center"/>
      <protection/>
    </xf>
    <xf numFmtId="0" fontId="25" fillId="0" borderId="68" xfId="47" applyFont="1" applyFill="1" applyBorder="1" applyAlignment="1">
      <alignment vertical="center"/>
      <protection/>
    </xf>
    <xf numFmtId="0" fontId="29" fillId="1" borderId="77" xfId="47" applyFont="1" applyFill="1" applyBorder="1" applyAlignment="1">
      <alignment vertical="center"/>
      <protection/>
    </xf>
    <xf numFmtId="0" fontId="46" fillId="0" borderId="78" xfId="47" applyFont="1" applyBorder="1" applyAlignment="1">
      <alignment horizontal="center" vertical="center" wrapText="1"/>
      <protection/>
    </xf>
    <xf numFmtId="4" fontId="8" fillId="1" borderId="19" xfId="47" applyNumberFormat="1" applyFill="1" applyBorder="1" applyAlignment="1">
      <alignment horizontal="center" vertical="center"/>
      <protection/>
    </xf>
    <xf numFmtId="4" fontId="8" fillId="1" borderId="61" xfId="47" applyNumberFormat="1" applyFill="1" applyBorder="1" applyAlignment="1">
      <alignment horizontal="center" vertical="center"/>
      <protection/>
    </xf>
    <xf numFmtId="4" fontId="8" fillId="1" borderId="51" xfId="47" applyNumberFormat="1" applyFill="1" applyBorder="1" applyAlignment="1">
      <alignment vertical="center" wrapText="1"/>
      <protection/>
    </xf>
    <xf numFmtId="0" fontId="42" fillId="0" borderId="0" xfId="47" applyFont="1" applyAlignment="1" applyProtection="1">
      <alignment horizontal="right" vertical="center"/>
      <protection/>
    </xf>
    <xf numFmtId="0" fontId="43" fillId="0" borderId="0" xfId="47" applyFont="1" applyAlignment="1">
      <alignment horizontal="left" vertical="center"/>
      <protection/>
    </xf>
    <xf numFmtId="0" fontId="47" fillId="37" borderId="25" xfId="47" applyFont="1" applyFill="1" applyBorder="1" applyAlignment="1">
      <alignment horizontal="center" vertical="center"/>
      <protection/>
    </xf>
    <xf numFmtId="0" fontId="47" fillId="37" borderId="49" xfId="47" applyFont="1" applyFill="1" applyBorder="1" applyAlignment="1">
      <alignment horizontal="center" vertical="center"/>
      <protection/>
    </xf>
    <xf numFmtId="0" fontId="47" fillId="0" borderId="29" xfId="47" applyFont="1" applyFill="1" applyBorder="1" applyAlignment="1">
      <alignment horizontal="center" vertical="center"/>
      <protection/>
    </xf>
    <xf numFmtId="0" fontId="47" fillId="0" borderId="52" xfId="47" applyFont="1" applyFill="1" applyBorder="1" applyAlignment="1">
      <alignment horizontal="center" vertical="center"/>
      <protection/>
    </xf>
    <xf numFmtId="0" fontId="47" fillId="0" borderId="25" xfId="47" applyFont="1" applyFill="1" applyBorder="1" applyAlignment="1">
      <alignment horizontal="center" vertical="center"/>
      <protection/>
    </xf>
    <xf numFmtId="0" fontId="47" fillId="0" borderId="49" xfId="47" applyFont="1" applyFill="1" applyBorder="1" applyAlignment="1">
      <alignment horizontal="center" vertical="center"/>
      <protection/>
    </xf>
    <xf numFmtId="0" fontId="51" fillId="0" borderId="29" xfId="47" applyFont="1" applyFill="1" applyBorder="1" applyAlignment="1">
      <alignment horizontal="center" vertical="center"/>
      <protection/>
    </xf>
    <xf numFmtId="0" fontId="51" fillId="0" borderId="52" xfId="47" applyFont="1" applyFill="1" applyBorder="1" applyAlignment="1">
      <alignment horizontal="center" vertical="center"/>
      <protection/>
    </xf>
    <xf numFmtId="221" fontId="8" fillId="0" borderId="25" xfId="47" applyNumberFormat="1" applyFill="1" applyBorder="1" applyAlignment="1">
      <alignment horizontal="center" vertical="center"/>
      <protection/>
    </xf>
    <xf numFmtId="221" fontId="23" fillId="0" borderId="29" xfId="47" applyNumberFormat="1" applyFont="1" applyFill="1" applyBorder="1" applyAlignment="1">
      <alignment horizontal="center" vertical="center"/>
      <protection/>
    </xf>
    <xf numFmtId="4" fontId="42" fillId="0" borderId="66" xfId="0" applyNumberFormat="1" applyFont="1" applyBorder="1" applyAlignment="1">
      <alignment horizontal="center" vertical="top" wrapText="1"/>
    </xf>
    <xf numFmtId="0" fontId="46" fillId="0" borderId="78" xfId="47" applyFont="1" applyBorder="1" applyAlignment="1">
      <alignment vertical="center" wrapText="1"/>
      <protection/>
    </xf>
    <xf numFmtId="0" fontId="23" fillId="33" borderId="0" xfId="47" applyFont="1" applyFill="1" applyAlignment="1">
      <alignment horizontal="center" vertical="center"/>
      <protection/>
    </xf>
    <xf numFmtId="0" fontId="8" fillId="0" borderId="0" xfId="47" applyAlignment="1">
      <alignment horizontal="center"/>
      <protection/>
    </xf>
    <xf numFmtId="0" fontId="21" fillId="33" borderId="0" xfId="47" applyFont="1" applyFill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4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horizontal="left" vertical="center"/>
      <protection/>
    </xf>
    <xf numFmtId="0" fontId="55" fillId="0" borderId="0" xfId="47" applyFont="1" applyBorder="1" applyAlignment="1">
      <alignment horizontal="right" vertical="center" wrapText="1"/>
      <protection/>
    </xf>
    <xf numFmtId="0" fontId="56" fillId="0" borderId="0" xfId="47" applyFont="1" applyBorder="1" applyAlignment="1">
      <alignment horizontal="left" vertical="center"/>
      <protection/>
    </xf>
    <xf numFmtId="221" fontId="57" fillId="0" borderId="0" xfId="47" applyNumberFormat="1" applyFont="1" applyBorder="1" applyAlignment="1">
      <alignment horizontal="left" vertical="center"/>
      <protection/>
    </xf>
    <xf numFmtId="221" fontId="57" fillId="0" borderId="0" xfId="47" applyNumberFormat="1" applyFont="1" applyBorder="1" applyAlignment="1">
      <alignment vertical="center"/>
      <protection/>
    </xf>
    <xf numFmtId="0" fontId="58" fillId="0" borderId="0" xfId="47" applyFont="1" applyFill="1" applyAlignment="1">
      <alignment horizontal="center" vertical="center"/>
      <protection/>
    </xf>
    <xf numFmtId="0" fontId="39" fillId="0" borderId="0" xfId="47" applyFont="1" applyAlignment="1">
      <alignment horizontal="left" vertical="center"/>
      <protection/>
    </xf>
    <xf numFmtId="0" fontId="23" fillId="33" borderId="0" xfId="47" applyFont="1" applyFill="1" applyAlignment="1">
      <alignment horizontal="right" vertical="center"/>
      <protection/>
    </xf>
    <xf numFmtId="0" fontId="23" fillId="33" borderId="0" xfId="47" applyFont="1" applyFill="1" applyAlignment="1">
      <alignment horizontal="center" vertical="center"/>
      <protection/>
    </xf>
    <xf numFmtId="238" fontId="23" fillId="33" borderId="0" xfId="47" applyNumberFormat="1" applyFont="1" applyFill="1" applyAlignment="1">
      <alignment horizontal="center" vertical="center"/>
      <protection/>
    </xf>
    <xf numFmtId="239" fontId="23" fillId="33" borderId="0" xfId="47" applyNumberFormat="1" applyFont="1" applyFill="1" applyAlignment="1">
      <alignment horizontal="center" vertical="center"/>
      <protection/>
    </xf>
    <xf numFmtId="1" fontId="21" fillId="33" borderId="0" xfId="47" applyNumberFormat="1" applyFont="1" applyFill="1" applyAlignment="1">
      <alignment horizontal="center" vertical="center"/>
      <protection/>
    </xf>
    <xf numFmtId="1" fontId="53" fillId="33" borderId="0" xfId="47" applyNumberFormat="1" applyFont="1" applyFill="1" applyAlignment="1">
      <alignment horizontal="center" vertical="center"/>
      <protection/>
    </xf>
    <xf numFmtId="240" fontId="8" fillId="0" borderId="0" xfId="47" applyNumberFormat="1" applyFont="1" applyAlignment="1">
      <alignment horizontal="center" vertical="center"/>
      <protection/>
    </xf>
    <xf numFmtId="0" fontId="8" fillId="0" borderId="0" xfId="47" applyFont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left" vertical="center" wrapText="1"/>
      <protection/>
    </xf>
    <xf numFmtId="240" fontId="50" fillId="0" borderId="0" xfId="47" applyNumberFormat="1" applyFont="1" applyAlignment="1">
      <alignment horizontal="center" vertical="center"/>
      <protection/>
    </xf>
    <xf numFmtId="0" fontId="50" fillId="0" borderId="38" xfId="47" applyFont="1" applyBorder="1" applyAlignment="1">
      <alignment horizontal="left" vertical="center"/>
      <protection/>
    </xf>
    <xf numFmtId="241" fontId="50" fillId="0" borderId="0" xfId="47" applyNumberFormat="1" applyFont="1" applyAlignment="1">
      <alignment horizontal="center" vertical="center"/>
      <protection/>
    </xf>
    <xf numFmtId="3" fontId="8" fillId="0" borderId="0" xfId="47" applyNumberFormat="1" applyBorder="1" applyAlignment="1">
      <alignment vertical="center"/>
      <protection/>
    </xf>
    <xf numFmtId="0" fontId="8" fillId="0" borderId="0" xfId="47" applyBorder="1" applyAlignment="1">
      <alignment vertical="center"/>
      <protection/>
    </xf>
    <xf numFmtId="3" fontId="8" fillId="0" borderId="0" xfId="47" applyNumberFormat="1" applyFill="1" applyBorder="1" applyAlignment="1">
      <alignment vertical="center"/>
      <protection/>
    </xf>
    <xf numFmtId="0" fontId="8" fillId="0" borderId="0" xfId="47" applyFill="1" applyBorder="1" applyAlignment="1">
      <alignment vertical="center"/>
      <protection/>
    </xf>
    <xf numFmtId="0" fontId="23" fillId="0" borderId="0" xfId="47" applyFont="1" applyBorder="1" applyAlignment="1">
      <alignment vertical="center"/>
      <protection/>
    </xf>
    <xf numFmtId="3" fontId="8" fillId="0" borderId="0" xfId="47" applyNumberFormat="1" applyBorder="1" applyAlignment="1">
      <alignment/>
      <protection/>
    </xf>
    <xf numFmtId="3" fontId="23" fillId="0" borderId="0" xfId="47" applyNumberFormat="1" applyFont="1" applyBorder="1" applyAlignment="1">
      <alignment/>
      <protection/>
    </xf>
    <xf numFmtId="3" fontId="23" fillId="0" borderId="0" xfId="47" applyNumberFormat="1" applyFont="1" applyBorder="1" applyAlignment="1">
      <alignment vertical="center"/>
      <protection/>
    </xf>
    <xf numFmtId="0" fontId="25" fillId="0" borderId="0" xfId="47" applyFont="1" applyFill="1" applyBorder="1" applyAlignment="1">
      <alignment vertical="center"/>
      <protection/>
    </xf>
    <xf numFmtId="0" fontId="8" fillId="33" borderId="0" xfId="47" applyFill="1" applyBorder="1" applyAlignment="1">
      <alignment vertical="center"/>
      <protection/>
    </xf>
    <xf numFmtId="0" fontId="8" fillId="33" borderId="0" xfId="47" applyFont="1" applyFill="1" applyBorder="1" applyAlignment="1">
      <alignment horizontal="left" vertical="center"/>
      <protection/>
    </xf>
    <xf numFmtId="0" fontId="46" fillId="33" borderId="0" xfId="47" applyFont="1" applyFill="1" applyAlignment="1">
      <alignment horizontal="center" vertical="center"/>
      <protection/>
    </xf>
    <xf numFmtId="0" fontId="46" fillId="33" borderId="0" xfId="47" applyFont="1" applyFill="1" applyBorder="1" applyAlignment="1">
      <alignment horizontal="center" vertical="center"/>
      <protection/>
    </xf>
    <xf numFmtId="240" fontId="50" fillId="0" borderId="0" xfId="47" applyNumberFormat="1" applyFont="1" applyAlignment="1">
      <alignment horizontal="left" vertical="center"/>
      <protection/>
    </xf>
    <xf numFmtId="0" fontId="50" fillId="0" borderId="0" xfId="47" applyFont="1" applyBorder="1" applyAlignment="1">
      <alignment horizontal="left" vertical="center"/>
      <protection/>
    </xf>
    <xf numFmtId="0" fontId="8" fillId="33" borderId="0" xfId="47" applyFill="1" applyBorder="1" applyAlignment="1">
      <alignment horizontal="left" vertical="center"/>
      <protection/>
    </xf>
    <xf numFmtId="0" fontId="25" fillId="33" borderId="0" xfId="47" applyFont="1" applyFill="1" applyBorder="1" applyAlignment="1">
      <alignment horizontal="left" vertical="center"/>
      <protection/>
    </xf>
    <xf numFmtId="240" fontId="8" fillId="0" borderId="0" xfId="47" applyNumberFormat="1" applyFont="1" applyAlignment="1">
      <alignment horizontal="left" vertical="center"/>
      <protection/>
    </xf>
    <xf numFmtId="0" fontId="31" fillId="33" borderId="0" xfId="47" applyFont="1" applyFill="1" applyAlignment="1">
      <alignment horizontal="left" vertical="center"/>
      <protection/>
    </xf>
    <xf numFmtId="241" fontId="8" fillId="0" borderId="0" xfId="47" applyNumberFormat="1" applyFont="1" applyAlignment="1">
      <alignment horizontal="center" vertical="center"/>
      <protection/>
    </xf>
    <xf numFmtId="240" fontId="8" fillId="0" borderId="0" xfId="47" applyNumberFormat="1" applyFont="1" applyAlignment="1" applyProtection="1">
      <alignment horizontal="center" vertical="center"/>
      <protection/>
    </xf>
    <xf numFmtId="240" fontId="50" fillId="0" borderId="0" xfId="47" applyNumberFormat="1" applyFont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left" vertical="top" wrapText="1"/>
    </xf>
    <xf numFmtId="0" fontId="8" fillId="0" borderId="41" xfId="49" applyFont="1" applyBorder="1" applyAlignment="1">
      <alignment horizontal="left" vertical="top" wrapText="1"/>
      <protection/>
    </xf>
    <xf numFmtId="0" fontId="8" fillId="0" borderId="46" xfId="49" applyFont="1" applyBorder="1" applyAlignment="1">
      <alignment horizontal="left" vertical="top" wrapText="1"/>
      <protection/>
    </xf>
    <xf numFmtId="0" fontId="8" fillId="0" borderId="41" xfId="49" applyNumberFormat="1" applyFont="1" applyBorder="1" applyAlignment="1">
      <alignment horizontal="left" vertical="top" wrapText="1"/>
      <protection/>
    </xf>
    <xf numFmtId="0" fontId="2" fillId="0" borderId="28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/>
    </xf>
    <xf numFmtId="2" fontId="4" fillId="36" borderId="59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top"/>
    </xf>
    <xf numFmtId="2" fontId="2" fillId="0" borderId="55" xfId="0" applyNumberFormat="1" applyFont="1" applyBorder="1" applyAlignment="1">
      <alignment horizontal="center" vertical="top"/>
    </xf>
    <xf numFmtId="2" fontId="2" fillId="0" borderId="54" xfId="0" applyNumberFormat="1" applyFont="1" applyBorder="1" applyAlignment="1">
      <alignment horizontal="center" vertical="top"/>
    </xf>
    <xf numFmtId="2" fontId="2" fillId="0" borderId="54" xfId="0" applyNumberFormat="1" applyFont="1" applyFill="1" applyBorder="1" applyAlignment="1">
      <alignment horizontal="center" vertical="top"/>
    </xf>
    <xf numFmtId="2" fontId="2" fillId="0" borderId="56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64" xfId="0" applyNumberFormat="1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60" fillId="0" borderId="33" xfId="0" applyFont="1" applyBorder="1" applyAlignment="1">
      <alignment vertical="top" wrapText="1"/>
    </xf>
    <xf numFmtId="4" fontId="43" fillId="0" borderId="41" xfId="0" applyNumberFormat="1" applyFont="1" applyBorder="1" applyAlignment="1">
      <alignment horizontal="center" vertical="top" wrapText="1"/>
    </xf>
    <xf numFmtId="211" fontId="43" fillId="0" borderId="49" xfId="0" applyNumberFormat="1" applyFont="1" applyBorder="1" applyAlignment="1">
      <alignment horizontal="center" vertical="top" wrapText="1"/>
    </xf>
    <xf numFmtId="4" fontId="43" fillId="0" borderId="22" xfId="0" applyNumberFormat="1" applyFont="1" applyBorder="1" applyAlignment="1">
      <alignment horizontal="center" vertical="top" wrapText="1"/>
    </xf>
    <xf numFmtId="211" fontId="43" fillId="0" borderId="50" xfId="0" applyNumberFormat="1" applyFont="1" applyBorder="1" applyAlignment="1">
      <alignment horizontal="center" vertical="top" wrapText="1"/>
    </xf>
    <xf numFmtId="4" fontId="43" fillId="0" borderId="46" xfId="0" applyNumberFormat="1" applyFont="1" applyBorder="1" applyAlignment="1">
      <alignment horizontal="center" vertical="top" wrapText="1"/>
    </xf>
    <xf numFmtId="211" fontId="43" fillId="0" borderId="52" xfId="0" applyNumberFormat="1" applyFont="1" applyBorder="1" applyAlignment="1">
      <alignment horizontal="center" vertical="top" wrapText="1"/>
    </xf>
    <xf numFmtId="2" fontId="18" fillId="0" borderId="16" xfId="0" applyNumberFormat="1" applyFont="1" applyFill="1" applyBorder="1" applyAlignment="1">
      <alignment horizontal="center" vertical="top"/>
    </xf>
    <xf numFmtId="4" fontId="18" fillId="0" borderId="47" xfId="0" applyNumberFormat="1" applyFont="1" applyFill="1" applyBorder="1" applyAlignment="1">
      <alignment horizontal="center" vertical="top"/>
    </xf>
    <xf numFmtId="0" fontId="8" fillId="0" borderId="0" xfId="46" applyFont="1" applyFill="1" applyAlignment="1">
      <alignment horizontal="right"/>
      <protection/>
    </xf>
    <xf numFmtId="0" fontId="8" fillId="0" borderId="0" xfId="46" applyFont="1" applyFill="1">
      <alignment/>
      <protection/>
    </xf>
    <xf numFmtId="0" fontId="8" fillId="0" borderId="0" xfId="46" applyFill="1" applyAlignment="1">
      <alignment horizontal="right"/>
      <protection/>
    </xf>
    <xf numFmtId="0" fontId="8" fillId="0" borderId="0" xfId="46" applyFont="1" applyFill="1" applyAlignment="1">
      <alignment horizontal="center"/>
      <protection/>
    </xf>
    <xf numFmtId="0" fontId="18" fillId="0" borderId="2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/>
    </xf>
    <xf numFmtId="2" fontId="2" fillId="0" borderId="19" xfId="0" applyNumberFormat="1" applyFont="1" applyFill="1" applyBorder="1" applyAlignment="1">
      <alignment horizontal="center" vertical="top"/>
    </xf>
    <xf numFmtId="211" fontId="2" fillId="0" borderId="51" xfId="0" applyNumberFormat="1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 wrapText="1"/>
    </xf>
    <xf numFmtId="2" fontId="18" fillId="0" borderId="61" xfId="0" applyNumberFormat="1" applyFont="1" applyFill="1" applyBorder="1" applyAlignment="1">
      <alignment horizontal="center" vertical="top"/>
    </xf>
    <xf numFmtId="4" fontId="18" fillId="0" borderId="51" xfId="0" applyNumberFormat="1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/>
    </xf>
    <xf numFmtId="2" fontId="2" fillId="0" borderId="41" xfId="0" applyNumberFormat="1" applyFont="1" applyFill="1" applyBorder="1" applyAlignment="1">
      <alignment horizontal="center" vertical="top"/>
    </xf>
    <xf numFmtId="3" fontId="38" fillId="0" borderId="21" xfId="0" applyNumberFormat="1" applyFont="1" applyFill="1" applyBorder="1" applyAlignment="1">
      <alignment horizontal="center" vertical="top"/>
    </xf>
    <xf numFmtId="2" fontId="38" fillId="0" borderId="19" xfId="0" applyNumberFormat="1" applyFont="1" applyFill="1" applyBorder="1" applyAlignment="1">
      <alignment horizontal="center" vertical="top"/>
    </xf>
    <xf numFmtId="211" fontId="38" fillId="0" borderId="51" xfId="0" applyNumberFormat="1" applyFont="1" applyFill="1" applyBorder="1" applyAlignment="1">
      <alignment horizontal="center" vertical="top"/>
    </xf>
    <xf numFmtId="0" fontId="38" fillId="0" borderId="18" xfId="0" applyFont="1" applyFill="1" applyBorder="1" applyAlignment="1">
      <alignment horizontal="center" vertical="top" wrapText="1"/>
    </xf>
    <xf numFmtId="0" fontId="38" fillId="0" borderId="26" xfId="0" applyFont="1" applyFill="1" applyBorder="1" applyAlignment="1">
      <alignment horizontal="center" vertical="top" wrapText="1"/>
    </xf>
    <xf numFmtId="3" fontId="38" fillId="0" borderId="43" xfId="0" applyNumberFormat="1" applyFont="1" applyFill="1" applyBorder="1" applyAlignment="1">
      <alignment horizontal="center" vertical="top"/>
    </xf>
    <xf numFmtId="2" fontId="18" fillId="0" borderId="59" xfId="0" applyNumberFormat="1" applyFont="1" applyFill="1" applyBorder="1" applyAlignment="1">
      <alignment horizontal="center" vertical="top"/>
    </xf>
    <xf numFmtId="0" fontId="36" fillId="0" borderId="26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/>
    </xf>
    <xf numFmtId="0" fontId="8" fillId="33" borderId="0" xfId="47" applyFont="1" applyFill="1" applyBorder="1" applyAlignment="1">
      <alignment horizontal="left" vertical="center" wrapText="1"/>
      <protection/>
    </xf>
    <xf numFmtId="0" fontId="25" fillId="33" borderId="0" xfId="47" applyFont="1" applyFill="1" applyBorder="1" applyAlignment="1">
      <alignment vertical="center"/>
      <protection/>
    </xf>
    <xf numFmtId="0" fontId="46" fillId="0" borderId="0" xfId="47" applyFont="1" applyFill="1" applyAlignment="1">
      <alignment vertical="center"/>
      <protection/>
    </xf>
    <xf numFmtId="0" fontId="28" fillId="0" borderId="0" xfId="47" applyFont="1" applyFill="1" applyAlignment="1">
      <alignment vertical="center"/>
      <protection/>
    </xf>
    <xf numFmtId="0" fontId="23" fillId="0" borderId="0" xfId="47" applyFont="1" applyFill="1" applyBorder="1" applyAlignment="1">
      <alignment horizontal="center" vertical="center" wrapText="1"/>
      <protection/>
    </xf>
    <xf numFmtId="221" fontId="8" fillId="0" borderId="0" xfId="47" applyNumberFormat="1" applyFill="1" applyBorder="1" applyAlignment="1">
      <alignment horizontal="center" vertical="center"/>
      <protection/>
    </xf>
    <xf numFmtId="0" fontId="47" fillId="0" borderId="0" xfId="47" applyFont="1" applyFill="1" applyBorder="1" applyAlignment="1">
      <alignment horizontal="center" vertical="center"/>
      <protection/>
    </xf>
    <xf numFmtId="221" fontId="8" fillId="0" borderId="0" xfId="47" applyNumberFormat="1" applyFont="1" applyFill="1" applyBorder="1" applyAlignment="1">
      <alignment horizontal="right" vertical="center"/>
      <protection/>
    </xf>
    <xf numFmtId="0" fontId="56" fillId="0" borderId="0" xfId="47" applyFont="1" applyFill="1" applyBorder="1" applyAlignment="1">
      <alignment horizontal="left" vertical="center"/>
      <protection/>
    </xf>
    <xf numFmtId="0" fontId="8" fillId="0" borderId="0" xfId="47" applyFill="1" applyAlignment="1">
      <alignment vertical="center" wrapText="1"/>
      <protection/>
    </xf>
    <xf numFmtId="221" fontId="23" fillId="0" borderId="39" xfId="47" applyNumberFormat="1" applyFont="1" applyFill="1" applyBorder="1" applyAlignment="1">
      <alignment horizontal="center" vertical="center"/>
      <protection/>
    </xf>
    <xf numFmtId="221" fontId="23" fillId="0" borderId="29" xfId="47" applyNumberFormat="1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vertical="center"/>
      <protection/>
    </xf>
    <xf numFmtId="3" fontId="23" fillId="0" borderId="0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221" fontId="23" fillId="0" borderId="39" xfId="47" applyNumberFormat="1" applyFont="1" applyFill="1" applyBorder="1" applyAlignment="1">
      <alignment horizontal="center" vertical="center"/>
      <protection/>
    </xf>
    <xf numFmtId="221" fontId="57" fillId="0" borderId="0" xfId="47" applyNumberFormat="1" applyFont="1" applyFill="1" applyBorder="1" applyAlignment="1">
      <alignment horizontal="left" vertical="center"/>
      <protection/>
    </xf>
    <xf numFmtId="0" fontId="49" fillId="0" borderId="78" xfId="47" applyFont="1" applyFill="1" applyBorder="1" applyAlignment="1">
      <alignment horizontal="left" vertical="center"/>
      <protection/>
    </xf>
    <xf numFmtId="0" fontId="23" fillId="0" borderId="55" xfId="47" applyFont="1" applyFill="1" applyBorder="1" applyAlignment="1">
      <alignment horizontal="center" vertical="center"/>
      <protection/>
    </xf>
    <xf numFmtId="0" fontId="23" fillId="0" borderId="40" xfId="47" applyFont="1" applyFill="1" applyBorder="1" applyAlignment="1">
      <alignment horizontal="center" vertical="center"/>
      <protection/>
    </xf>
    <xf numFmtId="221" fontId="8" fillId="0" borderId="13" xfId="47" applyNumberFormat="1" applyFill="1" applyBorder="1" applyAlignment="1">
      <alignment horizontal="center" vertical="center"/>
      <protection/>
    </xf>
    <xf numFmtId="0" fontId="24" fillId="0" borderId="0" xfId="47" applyFont="1" applyFill="1" applyAlignment="1">
      <alignment vertical="center"/>
      <protection/>
    </xf>
    <xf numFmtId="221" fontId="57" fillId="0" borderId="0" xfId="47" applyNumberFormat="1" applyFont="1" applyFill="1" applyBorder="1" applyAlignment="1">
      <alignment vertical="center"/>
      <protection/>
    </xf>
    <xf numFmtId="0" fontId="26" fillId="0" borderId="0" xfId="47" applyFont="1" applyFill="1" applyAlignment="1">
      <alignment horizontal="right"/>
      <protection/>
    </xf>
    <xf numFmtId="0" fontId="8" fillId="0" borderId="0" xfId="47" applyFill="1">
      <alignment/>
      <protection/>
    </xf>
    <xf numFmtId="0" fontId="27" fillId="0" borderId="0" xfId="47" applyFont="1" applyFill="1">
      <alignment/>
      <protection/>
    </xf>
    <xf numFmtId="0" fontId="23" fillId="0" borderId="0" xfId="47" applyFont="1">
      <alignment/>
      <protection/>
    </xf>
    <xf numFmtId="0" fontId="4" fillId="33" borderId="1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4" fontId="37" fillId="0" borderId="43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34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15" fillId="0" borderId="33" xfId="0" applyFont="1" applyBorder="1" applyAlignment="1">
      <alignment vertical="top"/>
    </xf>
    <xf numFmtId="0" fontId="2" fillId="0" borderId="32" xfId="0" applyFont="1" applyFill="1" applyBorder="1" applyAlignment="1">
      <alignment horizontal="center" vertical="top"/>
    </xf>
    <xf numFmtId="0" fontId="15" fillId="0" borderId="31" xfId="0" applyFont="1" applyBorder="1" applyAlignment="1">
      <alignment vertical="top"/>
    </xf>
    <xf numFmtId="0" fontId="10" fillId="0" borderId="32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35" fillId="0" borderId="16" xfId="0" applyFont="1" applyFill="1" applyBorder="1" applyAlignment="1">
      <alignment horizontal="left" vertical="top"/>
    </xf>
    <xf numFmtId="0" fontId="15" fillId="0" borderId="4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/>
    </xf>
    <xf numFmtId="0" fontId="11" fillId="0" borderId="16" xfId="0" applyFont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2" fillId="34" borderId="57" xfId="0" applyNumberFormat="1" applyFont="1" applyFill="1" applyBorder="1" applyAlignment="1">
      <alignment horizontal="center" vertical="top"/>
    </xf>
    <xf numFmtId="4" fontId="2" fillId="34" borderId="42" xfId="0" applyNumberFormat="1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/>
    </xf>
    <xf numFmtId="0" fontId="15" fillId="0" borderId="45" xfId="0" applyFont="1" applyFill="1" applyBorder="1" applyAlignment="1" quotePrefix="1">
      <alignment horizontal="center" vertical="top"/>
    </xf>
    <xf numFmtId="4" fontId="2" fillId="0" borderId="45" xfId="0" applyNumberFormat="1" applyFont="1" applyBorder="1" applyAlignment="1" quotePrefix="1">
      <alignment horizontal="center" vertical="top" wrapText="1"/>
    </xf>
    <xf numFmtId="4" fontId="37" fillId="0" borderId="47" xfId="0" applyNumberFormat="1" applyFont="1" applyBorder="1" applyAlignment="1">
      <alignment horizontal="center" vertical="top" wrapText="1"/>
    </xf>
    <xf numFmtId="4" fontId="2" fillId="0" borderId="48" xfId="0" applyNumberFormat="1" applyFont="1" applyBorder="1" applyAlignment="1">
      <alignment horizontal="center" vertical="top" wrapText="1"/>
    </xf>
    <xf numFmtId="4" fontId="2" fillId="0" borderId="51" xfId="0" applyNumberFormat="1" applyFont="1" applyBorder="1" applyAlignment="1">
      <alignment horizontal="center" vertical="top" wrapText="1"/>
    </xf>
    <xf numFmtId="4" fontId="2" fillId="34" borderId="41" xfId="0" applyNumberFormat="1" applyFont="1" applyFill="1" applyBorder="1" applyAlignment="1">
      <alignment horizontal="center" vertical="top"/>
    </xf>
    <xf numFmtId="4" fontId="2" fillId="34" borderId="25" xfId="0" applyNumberFormat="1" applyFont="1" applyFill="1" applyBorder="1" applyAlignment="1">
      <alignment horizontal="center" vertical="top"/>
    </xf>
    <xf numFmtId="4" fontId="2" fillId="34" borderId="49" xfId="0" applyNumberFormat="1" applyFont="1" applyFill="1" applyBorder="1" applyAlignment="1">
      <alignment horizontal="center" vertical="top"/>
    </xf>
    <xf numFmtId="4" fontId="2" fillId="34" borderId="46" xfId="0" applyNumberFormat="1" applyFont="1" applyFill="1" applyBorder="1" applyAlignment="1">
      <alignment horizontal="center" vertical="top"/>
    </xf>
    <xf numFmtId="4" fontId="2" fillId="34" borderId="29" xfId="0" applyNumberFormat="1" applyFont="1" applyFill="1" applyBorder="1" applyAlignment="1">
      <alignment horizontal="center" vertical="top"/>
    </xf>
    <xf numFmtId="4" fontId="2" fillId="34" borderId="52" xfId="0" applyNumberFormat="1" applyFont="1" applyFill="1" applyBorder="1" applyAlignment="1">
      <alignment horizontal="center" vertical="top"/>
    </xf>
    <xf numFmtId="0" fontId="4" fillId="33" borderId="4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top"/>
    </xf>
    <xf numFmtId="0" fontId="4" fillId="33" borderId="39" xfId="0" applyFont="1" applyFill="1" applyBorder="1" applyAlignment="1">
      <alignment horizontal="center" vertical="top"/>
    </xf>
    <xf numFmtId="0" fontId="4" fillId="33" borderId="79" xfId="0" applyFont="1" applyFill="1" applyBorder="1" applyAlignment="1">
      <alignment horizontal="center" vertical="top"/>
    </xf>
    <xf numFmtId="4" fontId="37" fillId="0" borderId="16" xfId="0" applyNumberFormat="1" applyFont="1" applyBorder="1" applyAlignment="1">
      <alignment horizontal="center" vertical="top" wrapText="1"/>
    </xf>
    <xf numFmtId="4" fontId="37" fillId="0" borderId="67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42" xfId="0" applyNumberFormat="1" applyFont="1" applyBorder="1" applyAlignment="1">
      <alignment horizontal="center" vertical="top" wrapText="1"/>
    </xf>
    <xf numFmtId="0" fontId="15" fillId="0" borderId="52" xfId="0" applyFont="1" applyFill="1" applyBorder="1" applyAlignment="1" quotePrefix="1">
      <alignment horizontal="center" vertical="top"/>
    </xf>
    <xf numFmtId="242" fontId="2" fillId="34" borderId="21" xfId="0" applyNumberFormat="1" applyFont="1" applyFill="1" applyBorder="1" applyAlignment="1">
      <alignment horizontal="center" vertical="top"/>
    </xf>
    <xf numFmtId="242" fontId="15" fillId="34" borderId="21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Alignment="1">
      <alignment vertical="top" wrapText="1"/>
    </xf>
    <xf numFmtId="3" fontId="37" fillId="0" borderId="59" xfId="0" applyNumberFormat="1" applyFont="1" applyBorder="1" applyAlignment="1">
      <alignment horizontal="center" vertical="top"/>
    </xf>
    <xf numFmtId="3" fontId="2" fillId="0" borderId="53" xfId="0" applyNumberFormat="1" applyFont="1" applyBorder="1" applyAlignment="1">
      <alignment horizontal="center" vertical="top"/>
    </xf>
    <xf numFmtId="3" fontId="15" fillId="34" borderId="54" xfId="0" applyNumberFormat="1" applyFont="1" applyFill="1" applyBorder="1" applyAlignment="1">
      <alignment horizontal="center" vertical="top"/>
    </xf>
    <xf numFmtId="4" fontId="15" fillId="0" borderId="49" xfId="0" applyNumberFormat="1" applyFont="1" applyFill="1" applyBorder="1" applyAlignment="1">
      <alignment horizontal="center" vertical="top" wrapText="1"/>
    </xf>
    <xf numFmtId="4" fontId="11" fillId="0" borderId="47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 quotePrefix="1">
      <alignment horizontal="center" vertical="top" wrapText="1"/>
    </xf>
    <xf numFmtId="4" fontId="41" fillId="0" borderId="48" xfId="0" applyNumberFormat="1" applyFont="1" applyBorder="1" applyAlignment="1">
      <alignment horizontal="center" vertical="top" wrapText="1"/>
    </xf>
    <xf numFmtId="4" fontId="43" fillId="0" borderId="49" xfId="0" applyNumberFormat="1" applyFont="1" applyBorder="1" applyAlignment="1">
      <alignment horizontal="center" vertical="top" wrapText="1"/>
    </xf>
    <xf numFmtId="4" fontId="2" fillId="0" borderId="41" xfId="0" applyNumberFormat="1" applyFont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center" vertical="top" wrapText="1"/>
    </xf>
    <xf numFmtId="4" fontId="2" fillId="0" borderId="46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4" fontId="43" fillId="0" borderId="52" xfId="0" applyNumberFormat="1" applyFont="1" applyBorder="1" applyAlignment="1">
      <alignment horizontal="center" vertical="top" wrapText="1"/>
    </xf>
    <xf numFmtId="0" fontId="42" fillId="33" borderId="28" xfId="0" applyFont="1" applyFill="1" applyBorder="1" applyAlignment="1">
      <alignment horizontal="center" vertical="top" wrapText="1"/>
    </xf>
    <xf numFmtId="0" fontId="42" fillId="33" borderId="46" xfId="0" applyFont="1" applyFill="1" applyBorder="1" applyAlignment="1">
      <alignment horizontal="center" vertical="top" wrapText="1"/>
    </xf>
    <xf numFmtId="0" fontId="42" fillId="33" borderId="29" xfId="0" applyFont="1" applyFill="1" applyBorder="1" applyAlignment="1">
      <alignment horizontal="center" vertical="top" wrapText="1"/>
    </xf>
    <xf numFmtId="0" fontId="42" fillId="33" borderId="52" xfId="0" applyFont="1" applyFill="1" applyBorder="1" applyAlignment="1">
      <alignment horizontal="center" vertical="top" wrapText="1"/>
    </xf>
    <xf numFmtId="0" fontId="42" fillId="33" borderId="56" xfId="0" applyFont="1" applyFill="1" applyBorder="1" applyAlignment="1">
      <alignment horizontal="center" vertical="top" wrapText="1"/>
    </xf>
    <xf numFmtId="0" fontId="42" fillId="36" borderId="43" xfId="0" applyFont="1" applyFill="1" applyBorder="1" applyAlignment="1">
      <alignment horizontal="center" vertical="top" wrapText="1"/>
    </xf>
    <xf numFmtId="0" fontId="42" fillId="36" borderId="46" xfId="0" applyFont="1" applyFill="1" applyBorder="1" applyAlignment="1">
      <alignment horizontal="center" vertical="top" wrapText="1"/>
    </xf>
    <xf numFmtId="0" fontId="42" fillId="36" borderId="29" xfId="0" applyFont="1" applyFill="1" applyBorder="1" applyAlignment="1">
      <alignment horizontal="center" vertical="top" wrapText="1"/>
    </xf>
    <xf numFmtId="0" fontId="42" fillId="36" borderId="52" xfId="0" applyFont="1" applyFill="1" applyBorder="1" applyAlignment="1">
      <alignment horizontal="center" vertical="top" wrapText="1"/>
    </xf>
    <xf numFmtId="0" fontId="42" fillId="36" borderId="45" xfId="0" applyFont="1" applyFill="1" applyBorder="1" applyAlignment="1">
      <alignment horizontal="center" vertical="top" wrapText="1"/>
    </xf>
    <xf numFmtId="0" fontId="61" fillId="0" borderId="0" xfId="47" applyFont="1" applyAlignment="1">
      <alignment horizontal="center"/>
      <protection/>
    </xf>
    <xf numFmtId="4" fontId="2" fillId="37" borderId="41" xfId="0" applyNumberFormat="1" applyFont="1" applyFill="1" applyBorder="1" applyAlignment="1">
      <alignment horizontal="center" vertical="top"/>
    </xf>
    <xf numFmtId="4" fontId="2" fillId="37" borderId="25" xfId="0" applyNumberFormat="1" applyFont="1" applyFill="1" applyBorder="1" applyAlignment="1">
      <alignment horizontal="center" vertical="top"/>
    </xf>
    <xf numFmtId="4" fontId="2" fillId="37" borderId="46" xfId="0" applyNumberFormat="1" applyFont="1" applyFill="1" applyBorder="1" applyAlignment="1">
      <alignment horizontal="center" vertical="top"/>
    </xf>
    <xf numFmtId="4" fontId="2" fillId="37" borderId="29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221" fontId="8" fillId="0" borderId="41" xfId="47" applyNumberFormat="1" applyBorder="1" applyAlignment="1">
      <alignment horizontal="center" vertical="top"/>
      <protection/>
    </xf>
    <xf numFmtId="221" fontId="8" fillId="0" borderId="54" xfId="47" applyNumberFormat="1" applyBorder="1" applyAlignment="1">
      <alignment horizontal="center" vertical="top"/>
      <protection/>
    </xf>
    <xf numFmtId="4" fontId="8" fillId="0" borderId="49" xfId="47" applyNumberFormat="1" applyBorder="1" applyAlignment="1">
      <alignment horizontal="center" vertical="top" wrapText="1"/>
      <protection/>
    </xf>
    <xf numFmtId="221" fontId="8" fillId="0" borderId="41" xfId="47" applyNumberFormat="1" applyFont="1" applyBorder="1" applyAlignment="1">
      <alignment horizontal="center" vertical="top"/>
      <protection/>
    </xf>
    <xf numFmtId="221" fontId="8" fillId="0" borderId="46" xfId="47" applyNumberFormat="1" applyFill="1" applyBorder="1" applyAlignment="1">
      <alignment horizontal="center" vertical="top"/>
      <protection/>
    </xf>
    <xf numFmtId="221" fontId="8" fillId="0" borderId="56" xfId="47" applyNumberFormat="1" applyFill="1" applyBorder="1" applyAlignment="1">
      <alignment horizontal="center" vertical="top"/>
      <protection/>
    </xf>
    <xf numFmtId="4" fontId="8" fillId="0" borderId="52" xfId="47" applyNumberFormat="1" applyFill="1" applyBorder="1" applyAlignment="1">
      <alignment horizontal="center" vertical="top" wrapText="1"/>
      <protection/>
    </xf>
    <xf numFmtId="221" fontId="8" fillId="0" borderId="22" xfId="47" applyNumberFormat="1" applyBorder="1" applyAlignment="1">
      <alignment horizontal="center" vertical="top"/>
      <protection/>
    </xf>
    <xf numFmtId="221" fontId="8" fillId="0" borderId="55" xfId="47" applyNumberFormat="1" applyBorder="1" applyAlignment="1">
      <alignment horizontal="center" vertical="top"/>
      <protection/>
    </xf>
    <xf numFmtId="4" fontId="8" fillId="0" borderId="50" xfId="47" applyNumberFormat="1" applyBorder="1" applyAlignment="1">
      <alignment horizontal="center" vertical="top" wrapText="1"/>
      <protection/>
    </xf>
    <xf numFmtId="221" fontId="23" fillId="0" borderId="64" xfId="47" applyNumberFormat="1" applyFont="1" applyBorder="1" applyAlignment="1">
      <alignment horizontal="center" vertical="top"/>
      <protection/>
    </xf>
    <xf numFmtId="221" fontId="23" fillId="0" borderId="80" xfId="47" applyNumberFormat="1" applyFont="1" applyBorder="1" applyAlignment="1">
      <alignment horizontal="center" vertical="top"/>
      <protection/>
    </xf>
    <xf numFmtId="221" fontId="8" fillId="0" borderId="29" xfId="47" applyNumberFormat="1" applyBorder="1" applyAlignment="1">
      <alignment horizontal="center" vertical="top"/>
      <protection/>
    </xf>
    <xf numFmtId="4" fontId="8" fillId="0" borderId="52" xfId="47" applyNumberFormat="1" applyBorder="1" applyAlignment="1">
      <alignment horizontal="center" vertical="top" wrapText="1"/>
      <protection/>
    </xf>
    <xf numFmtId="4" fontId="8" fillId="1" borderId="15" xfId="47" applyNumberFormat="1" applyFill="1" applyBorder="1" applyAlignment="1">
      <alignment horizontal="center" vertical="top"/>
      <protection/>
    </xf>
    <xf numFmtId="4" fontId="8" fillId="1" borderId="53" xfId="47" applyNumberFormat="1" applyFill="1" applyBorder="1" applyAlignment="1">
      <alignment horizontal="center" vertical="top"/>
      <protection/>
    </xf>
    <xf numFmtId="4" fontId="8" fillId="1" borderId="48" xfId="47" applyNumberFormat="1" applyFill="1" applyBorder="1" applyAlignment="1">
      <alignment vertical="top" wrapText="1"/>
      <protection/>
    </xf>
    <xf numFmtId="4" fontId="8" fillId="1" borderId="19" xfId="47" applyNumberFormat="1" applyFill="1" applyBorder="1" applyAlignment="1">
      <alignment horizontal="center" vertical="top"/>
      <protection/>
    </xf>
    <xf numFmtId="4" fontId="8" fillId="1" borderId="61" xfId="47" applyNumberFormat="1" applyFill="1" applyBorder="1" applyAlignment="1">
      <alignment horizontal="center" vertical="top"/>
      <protection/>
    </xf>
    <xf numFmtId="4" fontId="8" fillId="1" borderId="51" xfId="47" applyNumberFormat="1" applyFill="1" applyBorder="1" applyAlignment="1">
      <alignment vertical="top" wrapText="1"/>
      <protection/>
    </xf>
    <xf numFmtId="0" fontId="8" fillId="0" borderId="41" xfId="47" applyFill="1" applyBorder="1" applyAlignment="1">
      <alignment horizontal="center" vertical="top"/>
      <protection/>
    </xf>
    <xf numFmtId="0" fontId="8" fillId="0" borderId="54" xfId="47" applyFill="1" applyBorder="1" applyAlignment="1">
      <alignment horizontal="center" vertical="top"/>
      <protection/>
    </xf>
    <xf numFmtId="0" fontId="8" fillId="0" borderId="49" xfId="47" applyFill="1" applyBorder="1" applyAlignment="1">
      <alignment horizontal="center" vertical="top"/>
      <protection/>
    </xf>
    <xf numFmtId="0" fontId="8" fillId="1" borderId="19" xfId="47" applyFill="1" applyBorder="1" applyAlignment="1">
      <alignment horizontal="center" vertical="top"/>
      <protection/>
    </xf>
    <xf numFmtId="0" fontId="8" fillId="1" borderId="61" xfId="47" applyFill="1" applyBorder="1" applyAlignment="1">
      <alignment horizontal="center" vertical="top"/>
      <protection/>
    </xf>
    <xf numFmtId="0" fontId="8" fillId="1" borderId="51" xfId="47" applyFill="1" applyBorder="1" applyAlignment="1">
      <alignment horizontal="center" vertical="top"/>
      <protection/>
    </xf>
    <xf numFmtId="4" fontId="15" fillId="0" borderId="52" xfId="0" applyNumberFormat="1" applyFont="1" applyFill="1" applyBorder="1" applyAlignment="1">
      <alignment horizontal="center" vertical="top" wrapText="1"/>
    </xf>
    <xf numFmtId="4" fontId="2" fillId="34" borderId="22" xfId="0" applyNumberFormat="1" applyFont="1" applyFill="1" applyBorder="1" applyAlignment="1">
      <alignment horizontal="center" vertical="top"/>
    </xf>
    <xf numFmtId="4" fontId="2" fillId="34" borderId="40" xfId="0" applyNumberFormat="1" applyFont="1" applyFill="1" applyBorder="1" applyAlignment="1">
      <alignment horizontal="center" vertical="top"/>
    </xf>
    <xf numFmtId="4" fontId="2" fillId="34" borderId="50" xfId="0" applyNumberFormat="1" applyFont="1" applyFill="1" applyBorder="1" applyAlignment="1">
      <alignment horizontal="center" vertical="top"/>
    </xf>
    <xf numFmtId="4" fontId="97" fillId="0" borderId="47" xfId="0" applyNumberFormat="1" applyFont="1" applyBorder="1" applyAlignment="1">
      <alignment horizontal="center" vertical="top"/>
    </xf>
    <xf numFmtId="243" fontId="2" fillId="0" borderId="42" xfId="0" applyNumberFormat="1" applyFont="1" applyFill="1" applyBorder="1" applyAlignment="1" quotePrefix="1">
      <alignment horizontal="center" vertical="top"/>
    </xf>
    <xf numFmtId="0" fontId="8" fillId="0" borderId="0" xfId="46" applyFont="1">
      <alignment/>
      <protection/>
    </xf>
    <xf numFmtId="0" fontId="8" fillId="0" borderId="41" xfId="49" applyFont="1" applyFill="1" applyBorder="1" applyAlignment="1">
      <alignment horizontal="left" vertical="top" wrapText="1" indent="2"/>
      <protection/>
    </xf>
    <xf numFmtId="0" fontId="8" fillId="0" borderId="41" xfId="49" applyFont="1" applyFill="1" applyBorder="1" applyAlignment="1">
      <alignment horizontal="left" vertical="top" wrapText="1" indent="2"/>
      <protection/>
    </xf>
    <xf numFmtId="0" fontId="8" fillId="0" borderId="41" xfId="49" applyFill="1" applyBorder="1" applyAlignment="1">
      <alignment horizontal="left" vertical="top" wrapText="1" indent="2"/>
      <protection/>
    </xf>
    <xf numFmtId="0" fontId="60" fillId="0" borderId="4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41" xfId="0" applyNumberFormat="1" applyFont="1" applyBorder="1" applyAlignment="1">
      <alignment horizontal="center" vertical="top"/>
    </xf>
    <xf numFmtId="4" fontId="2" fillId="0" borderId="41" xfId="0" applyNumberFormat="1" applyFont="1" applyFill="1" applyBorder="1" applyAlignment="1">
      <alignment horizontal="center" vertical="top"/>
    </xf>
    <xf numFmtId="0" fontId="97" fillId="0" borderId="14" xfId="0" applyFont="1" applyBorder="1" applyAlignment="1">
      <alignment horizontal="center" vertical="top" wrapText="1"/>
    </xf>
    <xf numFmtId="0" fontId="8" fillId="0" borderId="0" xfId="46" applyFont="1" applyFill="1">
      <alignment/>
      <protection/>
    </xf>
    <xf numFmtId="0" fontId="15" fillId="0" borderId="22" xfId="0" applyFont="1" applyFill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15" fillId="0" borderId="22" xfId="0" applyFont="1" applyBorder="1" applyAlignment="1">
      <alignment horizontal="left" vertical="top" wrapText="1" indent="2"/>
    </xf>
    <xf numFmtId="4" fontId="2" fillId="0" borderId="57" xfId="0" applyNumberFormat="1" applyFont="1" applyFill="1" applyBorder="1" applyAlignment="1">
      <alignment horizontal="center" vertical="top" wrapText="1"/>
    </xf>
    <xf numFmtId="0" fontId="15" fillId="0" borderId="36" xfId="0" applyFont="1" applyBorder="1" applyAlignment="1">
      <alignment vertical="top"/>
    </xf>
    <xf numFmtId="4" fontId="2" fillId="34" borderId="58" xfId="0" applyNumberFormat="1" applyFont="1" applyFill="1" applyBorder="1" applyAlignment="1">
      <alignment horizontal="center" vertical="top"/>
    </xf>
    <xf numFmtId="0" fontId="15" fillId="0" borderId="15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/>
    </xf>
    <xf numFmtId="0" fontId="15" fillId="0" borderId="46" xfId="0" applyFont="1" applyBorder="1" applyAlignment="1">
      <alignment horizontal="left" vertical="top" wrapText="1" indent="2"/>
    </xf>
    <xf numFmtId="0" fontId="15" fillId="0" borderId="19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 indent="2"/>
    </xf>
    <xf numFmtId="211" fontId="43" fillId="38" borderId="51" xfId="0" applyNumberFormat="1" applyFont="1" applyFill="1" applyBorder="1" applyAlignment="1">
      <alignment horizontal="center" vertical="top" wrapText="1"/>
    </xf>
    <xf numFmtId="4" fontId="43" fillId="38" borderId="19" xfId="0" applyNumberFormat="1" applyFont="1" applyFill="1" applyBorder="1" applyAlignment="1">
      <alignment horizontal="center" vertical="top" wrapText="1"/>
    </xf>
    <xf numFmtId="4" fontId="43" fillId="38" borderId="41" xfId="0" applyNumberFormat="1" applyFont="1" applyFill="1" applyBorder="1" applyAlignment="1">
      <alignment horizontal="center" vertical="top" wrapText="1"/>
    </xf>
    <xf numFmtId="211" fontId="43" fillId="38" borderId="49" xfId="0" applyNumberFormat="1" applyFont="1" applyFill="1" applyBorder="1" applyAlignment="1">
      <alignment horizontal="center" vertical="top" wrapText="1"/>
    </xf>
    <xf numFmtId="4" fontId="43" fillId="38" borderId="15" xfId="0" applyNumberFormat="1" applyFont="1" applyFill="1" applyBorder="1" applyAlignment="1">
      <alignment horizontal="center" vertical="top" wrapText="1"/>
    </xf>
    <xf numFmtId="211" fontId="43" fillId="38" borderId="48" xfId="0" applyNumberFormat="1" applyFont="1" applyFill="1" applyBorder="1" applyAlignment="1">
      <alignment horizontal="center" vertical="top" wrapText="1"/>
    </xf>
    <xf numFmtId="211" fontId="2" fillId="38" borderId="49" xfId="0" applyNumberFormat="1" applyFont="1" applyFill="1" applyBorder="1" applyAlignment="1">
      <alignment horizontal="center" vertical="top"/>
    </xf>
    <xf numFmtId="0" fontId="47" fillId="38" borderId="25" xfId="47" applyFont="1" applyFill="1" applyBorder="1" applyAlignment="1">
      <alignment horizontal="center" vertical="center"/>
      <protection/>
    </xf>
    <xf numFmtId="0" fontId="47" fillId="38" borderId="49" xfId="47" applyFont="1" applyFill="1" applyBorder="1" applyAlignment="1">
      <alignment horizontal="center" vertical="center"/>
      <protection/>
    </xf>
    <xf numFmtId="211" fontId="2" fillId="38" borderId="50" xfId="0" applyNumberFormat="1" applyFont="1" applyFill="1" applyBorder="1" applyAlignment="1">
      <alignment horizontal="center" vertical="top"/>
    </xf>
    <xf numFmtId="0" fontId="23" fillId="0" borderId="25" xfId="47" applyFont="1" applyFill="1" applyBorder="1" applyAlignment="1">
      <alignment horizontal="center" vertical="center" wrapText="1"/>
      <protection/>
    </xf>
    <xf numFmtId="0" fontId="23" fillId="0" borderId="49" xfId="47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center" vertical="top"/>
    </xf>
    <xf numFmtId="4" fontId="18" fillId="0" borderId="55" xfId="0" applyNumberFormat="1" applyFont="1" applyFill="1" applyBorder="1" applyAlignment="1">
      <alignment horizontal="center" vertical="top"/>
    </xf>
    <xf numFmtId="4" fontId="18" fillId="0" borderId="50" xfId="0" applyNumberFormat="1" applyFont="1" applyFill="1" applyBorder="1" applyAlignment="1">
      <alignment horizontal="center" vertical="top"/>
    </xf>
    <xf numFmtId="0" fontId="10" fillId="0" borderId="43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60" fillId="0" borderId="41" xfId="0" applyFont="1" applyFill="1" applyBorder="1" applyAlignment="1">
      <alignment vertical="top" wrapText="1"/>
    </xf>
    <xf numFmtId="211" fontId="18" fillId="38" borderId="49" xfId="0" applyNumberFormat="1" applyFont="1" applyFill="1" applyBorder="1" applyAlignment="1">
      <alignment horizontal="center" vertical="top"/>
    </xf>
    <xf numFmtId="0" fontId="47" fillId="38" borderId="13" xfId="47" applyFont="1" applyFill="1" applyBorder="1" applyAlignment="1">
      <alignment horizontal="center" vertical="center"/>
      <protection/>
    </xf>
    <xf numFmtId="0" fontId="47" fillId="38" borderId="48" xfId="47" applyFont="1" applyFill="1" applyBorder="1" applyAlignment="1">
      <alignment horizontal="center" vertical="center"/>
      <protection/>
    </xf>
    <xf numFmtId="0" fontId="61" fillId="0" borderId="0" xfId="47" applyFont="1" applyFill="1" applyBorder="1" applyAlignment="1">
      <alignment horizontal="center"/>
      <protection/>
    </xf>
    <xf numFmtId="218" fontId="23" fillId="0" borderId="33" xfId="47" applyNumberFormat="1" applyFont="1" applyFill="1" applyBorder="1" applyAlignment="1">
      <alignment horizontal="center"/>
      <protection/>
    </xf>
    <xf numFmtId="4" fontId="23" fillId="0" borderId="33" xfId="47" applyNumberFormat="1" applyFont="1" applyFill="1" applyBorder="1" applyAlignment="1">
      <alignment horizontal="center"/>
      <protection/>
    </xf>
    <xf numFmtId="4" fontId="23" fillId="0" borderId="0" xfId="47" applyNumberFormat="1" applyFont="1" applyFill="1" applyBorder="1" applyAlignment="1">
      <alignment horizontal="center"/>
      <protection/>
    </xf>
    <xf numFmtId="211" fontId="2" fillId="0" borderId="48" xfId="0" applyNumberFormat="1" applyFont="1" applyFill="1" applyBorder="1" applyAlignment="1">
      <alignment horizontal="center" vertical="top"/>
    </xf>
    <xf numFmtId="0" fontId="98" fillId="0" borderId="0" xfId="47" applyFont="1" applyFill="1" applyAlignment="1">
      <alignment horizontal="right" vertical="center"/>
      <protection/>
    </xf>
    <xf numFmtId="239" fontId="98" fillId="0" borderId="0" xfId="47" applyNumberFormat="1" applyFont="1" applyFill="1" applyAlignment="1">
      <alignment horizontal="center" vertical="center"/>
      <protection/>
    </xf>
    <xf numFmtId="0" fontId="8" fillId="33" borderId="0" xfId="47" applyFont="1" applyFill="1" applyBorder="1" applyAlignment="1">
      <alignment horizontal="left" vertical="center"/>
      <protection/>
    </xf>
    <xf numFmtId="0" fontId="8" fillId="34" borderId="81" xfId="47" applyFont="1" applyFill="1" applyBorder="1" applyAlignment="1">
      <alignment horizontal="left"/>
      <protection/>
    </xf>
    <xf numFmtId="0" fontId="8" fillId="34" borderId="35" xfId="47" applyFont="1" applyFill="1" applyBorder="1" applyAlignment="1">
      <alignment horizontal="left"/>
      <protection/>
    </xf>
    <xf numFmtId="0" fontId="31" fillId="0" borderId="0" xfId="47" applyFont="1" applyAlignment="1">
      <alignment horizontal="right"/>
      <protection/>
    </xf>
    <xf numFmtId="0" fontId="31" fillId="0" borderId="0" xfId="47" applyFont="1" applyBorder="1" applyAlignment="1">
      <alignment horizontal="right"/>
      <protection/>
    </xf>
    <xf numFmtId="0" fontId="23" fillId="0" borderId="0" xfId="47" applyFont="1" applyAlignment="1">
      <alignment horizontal="center"/>
      <protection/>
    </xf>
    <xf numFmtId="14" fontId="23" fillId="36" borderId="81" xfId="47" applyNumberFormat="1" applyFont="1" applyFill="1" applyBorder="1" applyAlignment="1">
      <alignment horizontal="center"/>
      <protection/>
    </xf>
    <xf numFmtId="14" fontId="23" fillId="36" borderId="37" xfId="47" applyNumberFormat="1" applyFont="1" applyFill="1" applyBorder="1" applyAlignment="1">
      <alignment horizontal="center"/>
      <protection/>
    </xf>
    <xf numFmtId="14" fontId="23" fillId="36" borderId="35" xfId="47" applyNumberFormat="1" applyFont="1" applyFill="1" applyBorder="1" applyAlignment="1">
      <alignment horizontal="center"/>
      <protection/>
    </xf>
    <xf numFmtId="0" fontId="23" fillId="0" borderId="0" xfId="47" applyFont="1" applyBorder="1" applyAlignment="1">
      <alignment horizontal="center"/>
      <protection/>
    </xf>
    <xf numFmtId="0" fontId="23" fillId="0" borderId="75" xfId="47" applyFont="1" applyFill="1" applyBorder="1" applyAlignment="1">
      <alignment horizontal="center" vertical="center" wrapText="1"/>
      <protection/>
    </xf>
    <xf numFmtId="0" fontId="23" fillId="0" borderId="56" xfId="47" applyFont="1" applyFill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3" fillId="0" borderId="18" xfId="47" applyFont="1" applyFill="1" applyBorder="1" applyAlignment="1">
      <alignment horizontal="center" vertical="center"/>
      <protection/>
    </xf>
    <xf numFmtId="0" fontId="23" fillId="0" borderId="77" xfId="47" applyFont="1" applyFill="1" applyBorder="1" applyAlignment="1">
      <alignment horizontal="center" vertical="center"/>
      <protection/>
    </xf>
    <xf numFmtId="0" fontId="23" fillId="0" borderId="24" xfId="47" applyFont="1" applyFill="1" applyBorder="1" applyAlignment="1">
      <alignment horizontal="center" vertical="center"/>
      <protection/>
    </xf>
    <xf numFmtId="0" fontId="2" fillId="0" borderId="71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3" fillId="0" borderId="32" xfId="47" applyFont="1" applyFill="1" applyBorder="1" applyAlignment="1">
      <alignment horizontal="center" vertical="center"/>
      <protection/>
    </xf>
    <xf numFmtId="0" fontId="23" fillId="0" borderId="59" xfId="47" applyFont="1" applyFill="1" applyBorder="1" applyAlignment="1">
      <alignment horizontal="center" vertical="center"/>
      <protection/>
    </xf>
    <xf numFmtId="0" fontId="23" fillId="0" borderId="72" xfId="47" applyFont="1" applyFill="1" applyBorder="1" applyAlignment="1">
      <alignment horizontal="center" vertical="center"/>
      <protection/>
    </xf>
    <xf numFmtId="0" fontId="23" fillId="0" borderId="53" xfId="47" applyFont="1" applyFill="1" applyBorder="1" applyAlignment="1">
      <alignment horizontal="center" vertical="center"/>
      <protection/>
    </xf>
    <xf numFmtId="0" fontId="23" fillId="34" borderId="81" xfId="47" applyFont="1" applyFill="1" applyBorder="1" applyAlignment="1">
      <alignment horizontal="center" vertical="center" wrapText="1"/>
      <protection/>
    </xf>
    <xf numFmtId="0" fontId="23" fillId="34" borderId="37" xfId="47" applyFont="1" applyFill="1" applyBorder="1" applyAlignment="1">
      <alignment horizontal="center" vertical="center" wrapText="1"/>
      <protection/>
    </xf>
    <xf numFmtId="0" fontId="23" fillId="34" borderId="35" xfId="47" applyFont="1" applyFill="1" applyBorder="1" applyAlignment="1">
      <alignment horizontal="center" vertical="center" wrapText="1"/>
      <protection/>
    </xf>
    <xf numFmtId="0" fontId="2" fillId="0" borderId="7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71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8" fillId="0" borderId="74" xfId="47" applyFont="1" applyBorder="1" applyAlignment="1">
      <alignment horizontal="left" vertical="center" wrapText="1"/>
      <protection/>
    </xf>
    <xf numFmtId="0" fontId="8" fillId="0" borderId="68" xfId="47" applyFont="1" applyBorder="1" applyAlignment="1">
      <alignment horizontal="left" vertical="center" wrapText="1"/>
      <protection/>
    </xf>
    <xf numFmtId="0" fontId="23" fillId="34" borderId="81" xfId="0" applyFont="1" applyFill="1" applyBorder="1" applyAlignment="1">
      <alignment horizontal="left" vertical="center" wrapText="1"/>
    </xf>
    <xf numFmtId="0" fontId="23" fillId="34" borderId="37" xfId="0" applyFont="1" applyFill="1" applyBorder="1" applyAlignment="1">
      <alignment horizontal="left" vertical="center" wrapText="1"/>
    </xf>
    <xf numFmtId="0" fontId="23" fillId="34" borderId="35" xfId="0" applyFont="1" applyFill="1" applyBorder="1" applyAlignment="1">
      <alignment horizontal="left" vertical="center" wrapText="1"/>
    </xf>
    <xf numFmtId="0" fontId="8" fillId="0" borderId="82" xfId="47" applyFont="1" applyBorder="1" applyAlignment="1">
      <alignment horizontal="left" vertical="center" wrapText="1"/>
      <protection/>
    </xf>
    <xf numFmtId="0" fontId="8" fillId="0" borderId="69" xfId="47" applyFont="1" applyBorder="1" applyAlignment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46" fillId="0" borderId="81" xfId="47" applyFont="1" applyBorder="1" applyAlignment="1">
      <alignment horizontal="center" vertical="center" wrapText="1"/>
      <protection/>
    </xf>
    <xf numFmtId="0" fontId="46" fillId="0" borderId="37" xfId="47" applyFont="1" applyBorder="1" applyAlignment="1">
      <alignment horizontal="center" vertical="center" wrapText="1"/>
      <protection/>
    </xf>
    <xf numFmtId="0" fontId="46" fillId="0" borderId="35" xfId="4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3" fillId="0" borderId="33" xfId="47" applyFont="1" applyBorder="1" applyAlignment="1">
      <alignment horizontal="center" vertical="top"/>
      <protection/>
    </xf>
    <xf numFmtId="0" fontId="23" fillId="0" borderId="0" xfId="47" applyFont="1" applyBorder="1" applyAlignment="1">
      <alignment horizontal="center" vertical="top"/>
      <protection/>
    </xf>
    <xf numFmtId="0" fontId="23" fillId="0" borderId="34" xfId="47" applyFont="1" applyBorder="1" applyAlignment="1">
      <alignment horizontal="center" vertical="top"/>
      <protection/>
    </xf>
    <xf numFmtId="0" fontId="2" fillId="0" borderId="71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3" fillId="0" borderId="32" xfId="47" applyFont="1" applyBorder="1" applyAlignment="1">
      <alignment horizontal="center"/>
      <protection/>
    </xf>
    <xf numFmtId="0" fontId="23" fillId="0" borderId="38" xfId="47" applyFont="1" applyBorder="1" applyAlignment="1">
      <alignment horizontal="center"/>
      <protection/>
    </xf>
    <xf numFmtId="0" fontId="23" fillId="0" borderId="44" xfId="47" applyFont="1" applyBorder="1" applyAlignment="1">
      <alignment horizontal="center"/>
      <protection/>
    </xf>
    <xf numFmtId="0" fontId="8" fillId="0" borderId="83" xfId="47" applyFont="1" applyFill="1" applyBorder="1" applyAlignment="1">
      <alignment horizontal="left" vertical="center" wrapText="1"/>
      <protection/>
    </xf>
    <xf numFmtId="0" fontId="8" fillId="0" borderId="70" xfId="47" applyFont="1" applyFill="1" applyBorder="1" applyAlignment="1">
      <alignment horizontal="left" vertical="center" wrapText="1"/>
      <protection/>
    </xf>
    <xf numFmtId="0" fontId="23" fillId="0" borderId="32" xfId="47" applyFont="1" applyFill="1" applyBorder="1" applyAlignment="1">
      <alignment horizontal="center" vertical="top"/>
      <protection/>
    </xf>
    <xf numFmtId="0" fontId="23" fillId="0" borderId="59" xfId="47" applyFont="1" applyFill="1" applyBorder="1" applyAlignment="1">
      <alignment horizontal="center" vertical="top"/>
      <protection/>
    </xf>
    <xf numFmtId="0" fontId="23" fillId="0" borderId="72" xfId="47" applyFont="1" applyFill="1" applyBorder="1" applyAlignment="1">
      <alignment horizontal="center" vertical="top"/>
      <protection/>
    </xf>
    <xf numFmtId="0" fontId="23" fillId="0" borderId="53" xfId="47" applyFont="1" applyFill="1" applyBorder="1" applyAlignment="1">
      <alignment horizontal="center" vertical="top"/>
      <protection/>
    </xf>
    <xf numFmtId="0" fontId="8" fillId="0" borderId="71" xfId="47" applyFont="1" applyFill="1" applyBorder="1" applyAlignment="1">
      <alignment horizontal="left" vertical="center" wrapText="1"/>
      <protection/>
    </xf>
    <xf numFmtId="0" fontId="8" fillId="0" borderId="54" xfId="47" applyFont="1" applyFill="1" applyBorder="1" applyAlignment="1">
      <alignment horizontal="left" vertical="center" wrapText="1"/>
      <protection/>
    </xf>
    <xf numFmtId="4" fontId="4" fillId="34" borderId="43" xfId="0" applyNumberFormat="1" applyFont="1" applyFill="1" applyBorder="1" applyAlignment="1">
      <alignment horizontal="center" vertical="center" wrapText="1"/>
    </xf>
    <xf numFmtId="4" fontId="4" fillId="34" borderId="36" xfId="0" applyNumberFormat="1" applyFont="1" applyFill="1" applyBorder="1" applyAlignment="1">
      <alignment horizontal="center" vertical="center" wrapText="1"/>
    </xf>
    <xf numFmtId="4" fontId="4" fillId="34" borderId="45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33" fillId="33" borderId="60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4" fontId="4" fillId="39" borderId="43" xfId="0" applyNumberFormat="1" applyFont="1" applyFill="1" applyBorder="1" applyAlignment="1">
      <alignment horizontal="center" vertical="center" wrapText="1"/>
    </xf>
    <xf numFmtId="4" fontId="4" fillId="39" borderId="36" xfId="0" applyNumberFormat="1" applyFont="1" applyFill="1" applyBorder="1" applyAlignment="1">
      <alignment horizontal="center" vertical="center" wrapText="1"/>
    </xf>
    <xf numFmtId="211" fontId="42" fillId="36" borderId="43" xfId="0" applyNumberFormat="1" applyFont="1" applyFill="1" applyBorder="1" applyAlignment="1">
      <alignment horizontal="center" vertical="center" wrapText="1"/>
    </xf>
    <xf numFmtId="211" fontId="42" fillId="36" borderId="36" xfId="0" applyNumberFormat="1" applyFont="1" applyFill="1" applyBorder="1" applyAlignment="1">
      <alignment horizontal="center" vertical="center" wrapText="1"/>
    </xf>
    <xf numFmtId="211" fontId="42" fillId="36" borderId="45" xfId="0" applyNumberFormat="1" applyFont="1" applyFill="1" applyBorder="1" applyAlignment="1">
      <alignment horizontal="center" vertical="center" wrapText="1"/>
    </xf>
    <xf numFmtId="4" fontId="42" fillId="36" borderId="44" xfId="0" applyNumberFormat="1" applyFont="1" applyFill="1" applyBorder="1" applyAlignment="1">
      <alignment horizontal="center" vertical="center" wrapText="1"/>
    </xf>
    <xf numFmtId="4" fontId="42" fillId="36" borderId="34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top" wrapText="1"/>
    </xf>
    <xf numFmtId="0" fontId="23" fillId="33" borderId="46" xfId="0" applyFont="1" applyFill="1" applyBorder="1" applyAlignment="1">
      <alignment horizontal="center" vertical="top" wrapText="1"/>
    </xf>
    <xf numFmtId="0" fontId="42" fillId="36" borderId="19" xfId="0" applyFont="1" applyFill="1" applyBorder="1" applyAlignment="1">
      <alignment horizontal="center" vertical="top" wrapText="1"/>
    </xf>
    <xf numFmtId="0" fontId="42" fillId="36" borderId="17" xfId="0" applyFont="1" applyFill="1" applyBorder="1" applyAlignment="1">
      <alignment horizontal="center" vertical="top" wrapText="1"/>
    </xf>
    <xf numFmtId="0" fontId="42" fillId="36" borderId="51" xfId="0" applyFont="1" applyFill="1" applyBorder="1" applyAlignment="1">
      <alignment horizontal="center" vertical="top" wrapText="1"/>
    </xf>
    <xf numFmtId="3" fontId="23" fillId="33" borderId="19" xfId="0" applyNumberFormat="1" applyFont="1" applyFill="1" applyBorder="1" applyAlignment="1">
      <alignment horizontal="center" vertical="top" wrapText="1"/>
    </xf>
    <xf numFmtId="3" fontId="23" fillId="33" borderId="17" xfId="0" applyNumberFormat="1" applyFont="1" applyFill="1" applyBorder="1" applyAlignment="1">
      <alignment horizontal="center" vertical="top" wrapText="1"/>
    </xf>
    <xf numFmtId="3" fontId="23" fillId="33" borderId="51" xfId="0" applyNumberFormat="1" applyFont="1" applyFill="1" applyBorder="1" applyAlignment="1">
      <alignment horizontal="center" vertical="top" wrapText="1"/>
    </xf>
    <xf numFmtId="3" fontId="23" fillId="33" borderId="61" xfId="0" applyNumberFormat="1" applyFont="1" applyFill="1" applyBorder="1" applyAlignment="1">
      <alignment horizontal="center" vertical="top" wrapText="1"/>
    </xf>
    <xf numFmtId="3" fontId="23" fillId="33" borderId="18" xfId="0" applyNumberFormat="1" applyFont="1" applyFill="1" applyBorder="1" applyAlignment="1">
      <alignment horizontal="center"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2" fillId="33" borderId="28" xfId="0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horizontal="center" vertical="top" wrapText="1"/>
    </xf>
    <xf numFmtId="0" fontId="23" fillId="33" borderId="29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8" fillId="0" borderId="74" xfId="47" applyFont="1" applyBorder="1" applyAlignment="1">
      <alignment horizontal="left" vertical="center" wrapText="1"/>
      <protection/>
    </xf>
    <xf numFmtId="0" fontId="23" fillId="0" borderId="75" xfId="47" applyFont="1" applyBorder="1" applyAlignment="1">
      <alignment horizontal="center" vertical="center" wrapText="1"/>
      <protection/>
    </xf>
    <xf numFmtId="0" fontId="23" fillId="0" borderId="56" xfId="47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3" fillId="0" borderId="75" xfId="47" applyFont="1" applyFill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8" fillId="0" borderId="82" xfId="47" applyFont="1" applyBorder="1" applyAlignment="1">
      <alignment horizontal="left" vertical="center" wrapText="1"/>
      <protection/>
    </xf>
    <xf numFmtId="0" fontId="13" fillId="0" borderId="71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left" vertical="top" wrapTex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Template-Program(09Dec08)-กศน" xfId="46"/>
    <cellStyle name="ปกติ_Template-Program(25April08)-ทั่วไป" xfId="47"/>
    <cellStyle name="ปกติ_ระดับขั้นพื้นฐาน(ตบช.6-12)" xfId="48"/>
    <cellStyle name="ปกติ_ระดับขั้นพื้นฐาน(มฐ.6-12)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dxfs count="18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197</xdr:row>
      <xdr:rowOff>38100</xdr:rowOff>
    </xdr:from>
    <xdr:to>
      <xdr:col>3</xdr:col>
      <xdr:colOff>495300</xdr:colOff>
      <xdr:row>199</xdr:row>
      <xdr:rowOff>257175</xdr:rowOff>
    </xdr:to>
    <xdr:sp macro="[0]!Sort_ปฐมวัย">
      <xdr:nvSpPr>
        <xdr:cNvPr id="1" name="AutoShape 12"/>
        <xdr:cNvSpPr>
          <a:spLocks/>
        </xdr:cNvSpPr>
      </xdr:nvSpPr>
      <xdr:spPr>
        <a:xfrm>
          <a:off x="2619375" y="63103125"/>
          <a:ext cx="1457325" cy="638175"/>
        </a:xfrm>
        <a:prstGeom prst="round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1943100</xdr:colOff>
      <xdr:row>197</xdr:row>
      <xdr:rowOff>85725</xdr:rowOff>
    </xdr:from>
    <xdr:ext cx="971550" cy="619125"/>
    <xdr:sp macro="[0]!Sort_ปฐมวัย">
      <xdr:nvSpPr>
        <xdr:cNvPr id="2" name="TextBox 3"/>
        <xdr:cNvSpPr txBox="1">
          <a:spLocks noChangeArrowheads="1"/>
        </xdr:cNvSpPr>
      </xdr:nvSpPr>
      <xdr:spPr>
        <a:xfrm>
          <a:off x="2838450" y="63150750"/>
          <a:ext cx="9715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เรียงลำดับ
</a:t>
          </a:r>
          <a:r>
            <a:rPr lang="en-US" cap="none" sz="14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(ระดับปฐมวัย)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194</xdr:row>
      <xdr:rowOff>47625</xdr:rowOff>
    </xdr:from>
    <xdr:to>
      <xdr:col>3</xdr:col>
      <xdr:colOff>495300</xdr:colOff>
      <xdr:row>196</xdr:row>
      <xdr:rowOff>257175</xdr:rowOff>
    </xdr:to>
    <xdr:sp macro="[0]!Sort_ประถมมัธยม">
      <xdr:nvSpPr>
        <xdr:cNvPr id="1" name="AutoShape 12"/>
        <xdr:cNvSpPr>
          <a:spLocks/>
        </xdr:cNvSpPr>
      </xdr:nvSpPr>
      <xdr:spPr>
        <a:xfrm>
          <a:off x="2619375" y="63369825"/>
          <a:ext cx="1457325" cy="628650"/>
        </a:xfrm>
        <a:prstGeom prst="round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1704975</xdr:colOff>
      <xdr:row>194</xdr:row>
      <xdr:rowOff>57150</xdr:rowOff>
    </xdr:from>
    <xdr:ext cx="1485900" cy="666750"/>
    <xdr:sp macro="[0]!Sort_ประถมมัธยม">
      <xdr:nvSpPr>
        <xdr:cNvPr id="2" name="TextBox 3"/>
        <xdr:cNvSpPr txBox="1">
          <a:spLocks noChangeArrowheads="1"/>
        </xdr:cNvSpPr>
      </xdr:nvSpPr>
      <xdr:spPr>
        <a:xfrm>
          <a:off x="2600325" y="63379350"/>
          <a:ext cx="1485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เรียงลำดับ
</a:t>
          </a:r>
          <a:r>
            <a:rPr lang="en-US" cap="none" sz="16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(ประถม-มัธยมศึกษา)</a:t>
          </a:r>
        </a:p>
      </xdr:txBody>
    </xdr:sp>
    <xdr:clientData/>
  </xdr:oneCellAnchor>
  <xdr:oneCellAnchor>
    <xdr:from>
      <xdr:col>1</xdr:col>
      <xdr:colOff>2057400</xdr:colOff>
      <xdr:row>195</xdr:row>
      <xdr:rowOff>0</xdr:rowOff>
    </xdr:from>
    <xdr:ext cx="190500" cy="333375"/>
    <xdr:sp macro="[1]!Sort_ประถมมัธยม">
      <xdr:nvSpPr>
        <xdr:cNvPr id="3" name="TextBox 6"/>
        <xdr:cNvSpPr txBox="1">
          <a:spLocks noChangeArrowheads="1"/>
        </xdr:cNvSpPr>
      </xdr:nvSpPr>
      <xdr:spPr>
        <a:xfrm>
          <a:off x="2952750" y="634746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late-&#3611;&#3619;&#3632;&#3648;&#3617;&#3636;&#3609;&#3619;&#3629;&#3610;&#3626;&#3634;&#3617;&#3586;&#3633;&#3657;&#3609;&#3614;&#3639;&#3657;&#3609;&#3600;&#3634;&#3609;-12July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Data-ข้อมูล1"/>
      <sheetName val="EntryData-ข้อมูล2"/>
      <sheetName val="EntryData-ปฐมวัย(ตบช.1-12)"/>
      <sheetName val="Summary-ปฐมวัย"/>
      <sheetName val="เกณฑ์ประเมิน-ปฐมวัย"/>
      <sheetName val="EntryData-ประถม&amp;มัธยม(ตบช.1-4)"/>
      <sheetName val="EntryData-ประถม&amp;มัธยม(ตบช.5)"/>
      <sheetName val="EntryData-ประถม&amp;มัธยม(ตบช.6-12)"/>
      <sheetName val="Summary-ประถม&amp;มัธยม"/>
      <sheetName val="เกณฑ์ประเมิน-ประถม&amp;มัธยม"/>
      <sheetName val="Template-ประเมินรอบสามขั้นพื้นฐ"/>
    </sheetNames>
    <definedNames>
      <definedName name="Sort_ประถมมัธยม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S390"/>
  <sheetViews>
    <sheetView showGridLines="0" zoomScale="85" zoomScaleNormal="85" zoomScalePageLayoutView="0" workbookViewId="0" topLeftCell="A1">
      <selection activeCell="C5" sqref="C5"/>
    </sheetView>
  </sheetViews>
  <sheetFormatPr defaultColWidth="8.00390625" defaultRowHeight="14.25"/>
  <cols>
    <col min="1" max="1" width="12.375" style="47" customWidth="1"/>
    <col min="2" max="2" width="22.875" style="47" customWidth="1"/>
    <col min="3" max="3" width="18.125" style="48" customWidth="1"/>
    <col min="4" max="4" width="20.625" style="47" customWidth="1"/>
    <col min="5" max="5" width="2.125" style="47" customWidth="1"/>
    <col min="6" max="23" width="10.00390625" style="47" customWidth="1"/>
    <col min="24" max="16384" width="8.00390625" style="47" customWidth="1"/>
  </cols>
  <sheetData>
    <row r="1" spans="1:19" ht="23.25">
      <c r="A1" s="46" t="s">
        <v>1043</v>
      </c>
      <c r="S1" s="46"/>
    </row>
    <row r="2" ht="21">
      <c r="A2" s="49" t="s">
        <v>802</v>
      </c>
    </row>
    <row r="3" ht="21"/>
    <row r="4" spans="2:6" ht="21.75" thickBot="1">
      <c r="B4" s="50" t="s">
        <v>803</v>
      </c>
      <c r="F4" s="51" t="s">
        <v>804</v>
      </c>
    </row>
    <row r="5" spans="2:6" ht="21" thickBot="1">
      <c r="B5" s="52" t="s">
        <v>805</v>
      </c>
      <c r="C5" s="53"/>
      <c r="D5" s="54"/>
      <c r="F5" s="55" t="s">
        <v>806</v>
      </c>
    </row>
    <row r="6" spans="2:6" ht="21" thickBot="1">
      <c r="B6" s="52" t="s">
        <v>807</v>
      </c>
      <c r="C6" s="671"/>
      <c r="D6" s="672"/>
      <c r="F6" s="49" t="s">
        <v>808</v>
      </c>
    </row>
    <row r="7" spans="2:6" ht="21" thickBot="1">
      <c r="B7" s="52" t="s">
        <v>809</v>
      </c>
      <c r="C7" s="53"/>
      <c r="D7" s="56"/>
      <c r="F7" s="49" t="s">
        <v>810</v>
      </c>
    </row>
    <row r="9" ht="21.75" thickBot="1">
      <c r="B9" s="50" t="s">
        <v>811</v>
      </c>
    </row>
    <row r="10" spans="2:6" ht="21" thickBot="1">
      <c r="B10" s="52" t="s">
        <v>812</v>
      </c>
      <c r="C10" s="53"/>
      <c r="D10" s="57"/>
      <c r="F10" s="49" t="s">
        <v>838</v>
      </c>
    </row>
    <row r="11" spans="2:6" ht="21" thickBot="1">
      <c r="B11" s="52" t="s">
        <v>839</v>
      </c>
      <c r="C11" s="671"/>
      <c r="D11" s="672"/>
      <c r="F11" s="49" t="s">
        <v>840</v>
      </c>
    </row>
    <row r="12" spans="2:6" ht="21" thickBot="1">
      <c r="B12" s="52" t="s">
        <v>841</v>
      </c>
      <c r="C12" s="671"/>
      <c r="D12" s="672"/>
      <c r="F12" s="49" t="s">
        <v>636</v>
      </c>
    </row>
    <row r="13" spans="2:6" ht="21" thickBot="1">
      <c r="B13" s="52" t="s">
        <v>842</v>
      </c>
      <c r="C13" s="53"/>
      <c r="D13" s="57"/>
      <c r="F13" s="49" t="s">
        <v>843</v>
      </c>
    </row>
    <row r="14" spans="2:6" ht="21" thickBot="1">
      <c r="B14" s="52" t="s">
        <v>844</v>
      </c>
      <c r="C14" s="53"/>
      <c r="D14" s="57"/>
      <c r="F14" s="55" t="s">
        <v>845</v>
      </c>
    </row>
    <row r="15" spans="2:6" ht="21" thickBot="1">
      <c r="B15" s="52" t="s">
        <v>846</v>
      </c>
      <c r="C15" s="53"/>
      <c r="D15" s="57"/>
      <c r="F15" s="49" t="s">
        <v>847</v>
      </c>
    </row>
    <row r="16" spans="2:6" ht="21" thickBot="1">
      <c r="B16" s="52" t="s">
        <v>848</v>
      </c>
      <c r="C16" s="671"/>
      <c r="D16" s="672"/>
      <c r="F16" s="49" t="s">
        <v>849</v>
      </c>
    </row>
    <row r="17" spans="2:6" ht="21" thickBot="1">
      <c r="B17" s="52" t="s">
        <v>850</v>
      </c>
      <c r="C17" s="671"/>
      <c r="D17" s="672"/>
      <c r="F17" s="49" t="s">
        <v>851</v>
      </c>
    </row>
    <row r="18" spans="2:6" s="494" customFormat="1" ht="21" thickBot="1">
      <c r="B18" s="493" t="s">
        <v>852</v>
      </c>
      <c r="C18" s="671"/>
      <c r="D18" s="672"/>
      <c r="F18" s="495" t="s">
        <v>853</v>
      </c>
    </row>
    <row r="19" spans="2:6" ht="21" thickBot="1">
      <c r="B19" s="52" t="s">
        <v>854</v>
      </c>
      <c r="C19" s="671"/>
      <c r="D19" s="672"/>
      <c r="F19" s="55" t="s">
        <v>855</v>
      </c>
    </row>
    <row r="20" spans="2:6" ht="21" thickBot="1">
      <c r="B20" s="52" t="s">
        <v>856</v>
      </c>
      <c r="C20" s="53"/>
      <c r="D20" s="57"/>
      <c r="F20" s="55" t="s">
        <v>857</v>
      </c>
    </row>
    <row r="21" ht="21">
      <c r="B21" s="58"/>
    </row>
    <row r="22" ht="21.75" thickBot="1">
      <c r="B22" s="50" t="s">
        <v>797</v>
      </c>
    </row>
    <row r="23" spans="2:3" ht="21.75" thickBot="1">
      <c r="B23" s="52" t="s">
        <v>858</v>
      </c>
      <c r="C23" s="59"/>
    </row>
    <row r="24" spans="2:3" ht="21.75" thickBot="1">
      <c r="B24" s="52" t="s">
        <v>859</v>
      </c>
      <c r="C24" s="59"/>
    </row>
    <row r="25" spans="2:3" ht="21.75" thickBot="1">
      <c r="B25" s="52" t="s">
        <v>860</v>
      </c>
      <c r="C25" s="59"/>
    </row>
    <row r="26" spans="2:3" ht="21.75" thickBot="1">
      <c r="B26" s="52" t="s">
        <v>861</v>
      </c>
      <c r="C26" s="60" t="str">
        <f>IF((COUNT(C23:C25)&gt;=1),SUM(C23:C25),"Auto-Calculate")</f>
        <v>Auto-Calculate</v>
      </c>
    </row>
    <row r="27" spans="2:3" ht="21.75" thickBot="1">
      <c r="B27" s="52" t="s">
        <v>862</v>
      </c>
      <c r="C27" s="60" t="str">
        <f>IF((C26="Auto-Calculate"),"Auto-Calculate",IF((C26&gt;=2001),"XL",IF((C26&gt;=1001),"L",IF((C26&gt;=301),"M",IF(AND((C26&gt;=1),(C26&lt;=300)),"S","Auto-Calculate")))))</f>
        <v>Auto-Calculate</v>
      </c>
    </row>
    <row r="28" spans="2:3" ht="21">
      <c r="B28" s="58"/>
      <c r="C28" s="61"/>
    </row>
    <row r="29" spans="2:3" ht="21.75" thickBot="1">
      <c r="B29" s="50" t="s">
        <v>863</v>
      </c>
      <c r="C29" s="61"/>
    </row>
    <row r="30" spans="2:3" ht="21.75" thickBot="1">
      <c r="B30" s="52" t="s">
        <v>864</v>
      </c>
      <c r="C30" s="59"/>
    </row>
    <row r="31" spans="2:3" ht="21.75" thickBot="1">
      <c r="B31" s="50" t="s">
        <v>865</v>
      </c>
      <c r="C31" s="61"/>
    </row>
    <row r="32" spans="2:3" ht="21.75" thickBot="1">
      <c r="B32" s="52" t="s">
        <v>858</v>
      </c>
      <c r="C32" s="59"/>
    </row>
    <row r="33" spans="2:3" ht="21.75" thickBot="1">
      <c r="B33" s="52" t="s">
        <v>859</v>
      </c>
      <c r="C33" s="59"/>
    </row>
    <row r="34" spans="2:3" ht="21.75" thickBot="1">
      <c r="B34" s="52" t="s">
        <v>860</v>
      </c>
      <c r="C34" s="59"/>
    </row>
    <row r="35" spans="2:3" ht="21.75" thickBot="1">
      <c r="B35" s="52" t="s">
        <v>312</v>
      </c>
      <c r="C35" s="60" t="str">
        <f>IF((COUNT(C32:C34)&gt;=1),SUM(C32:C34),"Auto-Calculate")</f>
        <v>Auto-Calculate</v>
      </c>
    </row>
    <row r="37" spans="2:3" ht="21.75" thickBot="1">
      <c r="B37" s="51" t="s">
        <v>1035</v>
      </c>
      <c r="C37" s="61"/>
    </row>
    <row r="38" spans="2:3" ht="21.75" thickBot="1">
      <c r="B38" s="52" t="s">
        <v>858</v>
      </c>
      <c r="C38" s="62" t="str">
        <f>IF(OR((ISERROR(C23/C32)="TRUE"),(COUNT(C23,C32)&lt;&gt;2)),"Auto-calculate",ROUND(C23/C32,0)&amp;" : 1")</f>
        <v>Auto-calculate</v>
      </c>
    </row>
    <row r="39" spans="2:3" ht="21.75" thickBot="1">
      <c r="B39" s="52" t="s">
        <v>859</v>
      </c>
      <c r="C39" s="62" t="str">
        <f>IF(OR((ISERROR(C24/C33)="TRUE"),(COUNT(C24,C33)&lt;&gt;2)),"Auto-calculate",ROUND(C24/C33,0)&amp;" : 1")</f>
        <v>Auto-calculate</v>
      </c>
    </row>
    <row r="40" spans="2:3" ht="21.75" thickBot="1">
      <c r="B40" s="52" t="s">
        <v>860</v>
      </c>
      <c r="C40" s="62" t="str">
        <f>IF(OR((ISERROR(C25/C34)="TRUE"),(COUNT(C25,C34)&lt;&gt;2)),"Auto-calculate",ROUND(C25/C34,0)&amp;" : 1")</f>
        <v>Auto-calculate</v>
      </c>
    </row>
    <row r="41" spans="2:3" ht="21">
      <c r="B41" s="52"/>
      <c r="C41" s="666"/>
    </row>
    <row r="42" spans="2:3" ht="21.75" thickBot="1">
      <c r="B42" s="51" t="s">
        <v>637</v>
      </c>
      <c r="C42" s="61"/>
    </row>
    <row r="43" spans="2:3" ht="21.75" thickBot="1">
      <c r="B43" s="52" t="s">
        <v>858</v>
      </c>
      <c r="C43" s="62"/>
    </row>
    <row r="44" spans="2:3" ht="21.75" thickBot="1">
      <c r="B44" s="52" t="s">
        <v>859</v>
      </c>
      <c r="C44" s="62"/>
    </row>
    <row r="45" spans="2:3" ht="21.75" thickBot="1">
      <c r="B45" s="52" t="s">
        <v>860</v>
      </c>
      <c r="C45" s="62"/>
    </row>
    <row r="46" spans="2:3" ht="15" customHeight="1">
      <c r="B46" s="52"/>
      <c r="C46" s="61"/>
    </row>
    <row r="47" spans="2:3" ht="30" customHeight="1" hidden="1">
      <c r="B47" s="63" t="s">
        <v>313</v>
      </c>
      <c r="C47" s="61"/>
    </row>
    <row r="48" spans="2:3" ht="22.5" customHeight="1" hidden="1">
      <c r="B48" s="48" t="s">
        <v>314</v>
      </c>
      <c r="C48" s="61"/>
    </row>
    <row r="49" spans="2:3" ht="22.5" customHeight="1" hidden="1">
      <c r="B49" s="48" t="s">
        <v>315</v>
      </c>
      <c r="C49" s="61"/>
    </row>
    <row r="50" spans="2:3" ht="22.5" customHeight="1" hidden="1">
      <c r="B50" s="48" t="s">
        <v>316</v>
      </c>
      <c r="C50" s="61"/>
    </row>
    <row r="51" spans="2:3" ht="22.5" customHeight="1" hidden="1">
      <c r="B51" s="48" t="s">
        <v>317</v>
      </c>
      <c r="C51" s="61"/>
    </row>
    <row r="52" spans="2:3" ht="22.5" customHeight="1" hidden="1">
      <c r="B52" s="48" t="s">
        <v>318</v>
      </c>
      <c r="C52" s="61"/>
    </row>
    <row r="53" spans="2:3" ht="22.5" customHeight="1" hidden="1">
      <c r="B53" s="48" t="s">
        <v>319</v>
      </c>
      <c r="C53" s="61"/>
    </row>
    <row r="54" spans="2:3" ht="30" customHeight="1" hidden="1">
      <c r="B54" s="48"/>
      <c r="C54" s="61"/>
    </row>
    <row r="55" ht="21" hidden="1">
      <c r="B55" s="63" t="s">
        <v>320</v>
      </c>
    </row>
    <row r="56" ht="21" hidden="1">
      <c r="B56" s="48" t="s">
        <v>321</v>
      </c>
    </row>
    <row r="57" ht="21" hidden="1">
      <c r="B57" s="48" t="s">
        <v>322</v>
      </c>
    </row>
    <row r="58" ht="21" hidden="1">
      <c r="B58" s="48" t="s">
        <v>323</v>
      </c>
    </row>
    <row r="59" ht="21" hidden="1">
      <c r="B59" s="48" t="s">
        <v>324</v>
      </c>
    </row>
    <row r="60" ht="21" hidden="1">
      <c r="B60" s="48" t="s">
        <v>325</v>
      </c>
    </row>
    <row r="61" ht="21" hidden="1">
      <c r="B61" s="48" t="s">
        <v>326</v>
      </c>
    </row>
    <row r="62" ht="21" hidden="1">
      <c r="B62" s="48" t="s">
        <v>327</v>
      </c>
    </row>
    <row r="63" ht="21" hidden="1">
      <c r="B63" s="48" t="s">
        <v>328</v>
      </c>
    </row>
    <row r="64" ht="21" hidden="1">
      <c r="B64" s="48" t="s">
        <v>329</v>
      </c>
    </row>
    <row r="65" ht="21" hidden="1">
      <c r="B65" s="48" t="s">
        <v>330</v>
      </c>
    </row>
    <row r="66" ht="21" hidden="1">
      <c r="B66" s="48" t="s">
        <v>319</v>
      </c>
    </row>
    <row r="67" ht="21" hidden="1"/>
    <row r="68" ht="21" hidden="1">
      <c r="B68" s="63" t="s">
        <v>331</v>
      </c>
    </row>
    <row r="69" ht="21" hidden="1">
      <c r="B69" s="48" t="s">
        <v>332</v>
      </c>
    </row>
    <row r="70" ht="21" hidden="1">
      <c r="B70" s="48" t="s">
        <v>333</v>
      </c>
    </row>
    <row r="71" ht="21" hidden="1">
      <c r="B71" s="48" t="s">
        <v>334</v>
      </c>
    </row>
    <row r="72" ht="21" hidden="1">
      <c r="B72" s="48" t="s">
        <v>335</v>
      </c>
    </row>
    <row r="73" ht="21" hidden="1">
      <c r="B73" s="48" t="s">
        <v>336</v>
      </c>
    </row>
    <row r="74" ht="21" hidden="1">
      <c r="B74" s="48" t="s">
        <v>337</v>
      </c>
    </row>
    <row r="75" ht="21" hidden="1">
      <c r="B75" s="48" t="s">
        <v>338</v>
      </c>
    </row>
    <row r="76" ht="21" hidden="1">
      <c r="B76" s="48" t="s">
        <v>339</v>
      </c>
    </row>
    <row r="77" ht="21" hidden="1">
      <c r="B77" s="48" t="s">
        <v>340</v>
      </c>
    </row>
    <row r="78" ht="21" hidden="1">
      <c r="B78" s="48" t="s">
        <v>341</v>
      </c>
    </row>
    <row r="79" ht="21" hidden="1">
      <c r="B79" s="48" t="s">
        <v>342</v>
      </c>
    </row>
    <row r="80" ht="21" hidden="1">
      <c r="B80" s="48" t="s">
        <v>343</v>
      </c>
    </row>
    <row r="81" ht="21" hidden="1">
      <c r="B81" s="48" t="s">
        <v>344</v>
      </c>
    </row>
    <row r="82" ht="21" hidden="1">
      <c r="B82" s="48" t="s">
        <v>345</v>
      </c>
    </row>
    <row r="83" ht="21" hidden="1">
      <c r="B83" s="48" t="s">
        <v>346</v>
      </c>
    </row>
    <row r="84" ht="21" hidden="1">
      <c r="B84" s="48" t="s">
        <v>347</v>
      </c>
    </row>
    <row r="85" ht="21" hidden="1">
      <c r="B85" s="48" t="s">
        <v>348</v>
      </c>
    </row>
    <row r="86" ht="21" hidden="1">
      <c r="B86" s="48" t="s">
        <v>349</v>
      </c>
    </row>
    <row r="87" ht="21" hidden="1">
      <c r="B87" s="48" t="s">
        <v>350</v>
      </c>
    </row>
    <row r="88" ht="21" hidden="1">
      <c r="B88" s="48" t="s">
        <v>351</v>
      </c>
    </row>
    <row r="89" ht="21" hidden="1">
      <c r="B89" s="48" t="s">
        <v>352</v>
      </c>
    </row>
    <row r="90" ht="21" hidden="1">
      <c r="B90" s="48" t="s">
        <v>353</v>
      </c>
    </row>
    <row r="91" ht="21" hidden="1">
      <c r="B91" s="48" t="s">
        <v>354</v>
      </c>
    </row>
    <row r="92" ht="21" hidden="1">
      <c r="B92" s="48" t="s">
        <v>355</v>
      </c>
    </row>
    <row r="93" ht="21" hidden="1">
      <c r="B93" s="48" t="s">
        <v>356</v>
      </c>
    </row>
    <row r="94" ht="21" hidden="1">
      <c r="B94" s="48" t="s">
        <v>357</v>
      </c>
    </row>
    <row r="95" ht="21" hidden="1">
      <c r="B95" s="48" t="s">
        <v>1040</v>
      </c>
    </row>
    <row r="96" ht="21" hidden="1">
      <c r="B96" s="48" t="s">
        <v>358</v>
      </c>
    </row>
    <row r="97" ht="21" hidden="1">
      <c r="B97" s="48" t="s">
        <v>359</v>
      </c>
    </row>
    <row r="98" ht="21" hidden="1">
      <c r="B98" s="48" t="s">
        <v>360</v>
      </c>
    </row>
    <row r="99" ht="21" hidden="1">
      <c r="B99" s="48" t="s">
        <v>391</v>
      </c>
    </row>
    <row r="100" ht="21" hidden="1">
      <c r="B100" s="48" t="s">
        <v>392</v>
      </c>
    </row>
    <row r="101" ht="21" hidden="1">
      <c r="B101" s="48" t="s">
        <v>393</v>
      </c>
    </row>
    <row r="102" ht="21" hidden="1">
      <c r="B102" s="48" t="s">
        <v>394</v>
      </c>
    </row>
    <row r="103" ht="21" hidden="1">
      <c r="B103" s="48" t="s">
        <v>395</v>
      </c>
    </row>
    <row r="104" ht="21" hidden="1">
      <c r="B104" s="48" t="s">
        <v>396</v>
      </c>
    </row>
    <row r="105" ht="21" hidden="1">
      <c r="B105" s="48" t="s">
        <v>397</v>
      </c>
    </row>
    <row r="106" ht="21" hidden="1">
      <c r="B106" s="48" t="s">
        <v>398</v>
      </c>
    </row>
    <row r="107" ht="21" hidden="1">
      <c r="B107" s="48" t="s">
        <v>399</v>
      </c>
    </row>
    <row r="108" ht="21" hidden="1">
      <c r="B108" s="48" t="s">
        <v>400</v>
      </c>
    </row>
    <row r="109" ht="21" hidden="1">
      <c r="B109" s="48" t="s">
        <v>401</v>
      </c>
    </row>
    <row r="110" ht="21" hidden="1">
      <c r="B110" s="48" t="s">
        <v>402</v>
      </c>
    </row>
    <row r="111" ht="21" hidden="1">
      <c r="B111" s="48" t="s">
        <v>403</v>
      </c>
    </row>
    <row r="112" ht="21" hidden="1">
      <c r="B112" s="48" t="s">
        <v>404</v>
      </c>
    </row>
    <row r="113" ht="21" hidden="1">
      <c r="B113" s="48" t="s">
        <v>405</v>
      </c>
    </row>
    <row r="114" ht="21" hidden="1">
      <c r="B114" s="48" t="s">
        <v>406</v>
      </c>
    </row>
    <row r="115" ht="21" hidden="1">
      <c r="B115" s="48" t="s">
        <v>407</v>
      </c>
    </row>
    <row r="116" ht="21" hidden="1">
      <c r="B116" s="48" t="s">
        <v>408</v>
      </c>
    </row>
    <row r="117" ht="21" hidden="1">
      <c r="B117" s="48" t="s">
        <v>409</v>
      </c>
    </row>
    <row r="118" ht="21" hidden="1">
      <c r="B118" s="48" t="s">
        <v>410</v>
      </c>
    </row>
    <row r="119" ht="21" hidden="1">
      <c r="B119" s="48" t="s">
        <v>411</v>
      </c>
    </row>
    <row r="120" ht="21" hidden="1">
      <c r="B120" s="48" t="s">
        <v>412</v>
      </c>
    </row>
    <row r="121" ht="21" hidden="1">
      <c r="B121" s="48" t="s">
        <v>413</v>
      </c>
    </row>
    <row r="122" ht="21" hidden="1">
      <c r="B122" s="48" t="s">
        <v>414</v>
      </c>
    </row>
    <row r="123" ht="21" hidden="1">
      <c r="B123" s="48" t="s">
        <v>415</v>
      </c>
    </row>
    <row r="124" ht="21" hidden="1">
      <c r="B124" s="48" t="s">
        <v>416</v>
      </c>
    </row>
    <row r="125" ht="21" hidden="1">
      <c r="B125" s="48" t="s">
        <v>417</v>
      </c>
    </row>
    <row r="126" ht="21" hidden="1">
      <c r="B126" s="48" t="s">
        <v>418</v>
      </c>
    </row>
    <row r="127" ht="21" hidden="1">
      <c r="B127" s="48" t="s">
        <v>419</v>
      </c>
    </row>
    <row r="128" ht="21" hidden="1">
      <c r="B128" s="48" t="s">
        <v>420</v>
      </c>
    </row>
    <row r="129" ht="21" hidden="1">
      <c r="B129" s="48" t="s">
        <v>421</v>
      </c>
    </row>
    <row r="130" ht="21" hidden="1">
      <c r="B130" s="48" t="s">
        <v>422</v>
      </c>
    </row>
    <row r="131" ht="21" hidden="1">
      <c r="B131" s="48" t="s">
        <v>423</v>
      </c>
    </row>
    <row r="132" ht="21" hidden="1">
      <c r="B132" s="48" t="s">
        <v>424</v>
      </c>
    </row>
    <row r="133" ht="21" hidden="1">
      <c r="B133" s="48" t="s">
        <v>425</v>
      </c>
    </row>
    <row r="134" ht="21" hidden="1">
      <c r="B134" s="48" t="s">
        <v>426</v>
      </c>
    </row>
    <row r="135" ht="21" hidden="1">
      <c r="B135" s="48" t="s">
        <v>427</v>
      </c>
    </row>
    <row r="136" ht="21" hidden="1">
      <c r="B136" s="48" t="s">
        <v>428</v>
      </c>
    </row>
    <row r="137" ht="21" hidden="1">
      <c r="B137" s="48" t="s">
        <v>429</v>
      </c>
    </row>
    <row r="138" ht="21" hidden="1">
      <c r="B138" s="48" t="s">
        <v>430</v>
      </c>
    </row>
    <row r="139" ht="21" hidden="1">
      <c r="B139" s="48" t="s">
        <v>431</v>
      </c>
    </row>
    <row r="140" ht="21" hidden="1">
      <c r="B140" s="48" t="s">
        <v>432</v>
      </c>
    </row>
    <row r="141" ht="21" hidden="1">
      <c r="B141" s="48" t="s">
        <v>433</v>
      </c>
    </row>
    <row r="142" ht="21" hidden="1">
      <c r="B142" s="48" t="s">
        <v>434</v>
      </c>
    </row>
    <row r="143" ht="21" hidden="1">
      <c r="B143" s="48" t="s">
        <v>435</v>
      </c>
    </row>
    <row r="144" ht="21" hidden="1">
      <c r="B144" s="48" t="s">
        <v>436</v>
      </c>
    </row>
    <row r="145" ht="21" hidden="1">
      <c r="B145" s="48" t="s">
        <v>437</v>
      </c>
    </row>
    <row r="146" ht="21" hidden="1"/>
    <row r="147" ht="21" hidden="1">
      <c r="B147" s="63" t="s">
        <v>438</v>
      </c>
    </row>
    <row r="148" ht="21" hidden="1">
      <c r="B148" s="48" t="s">
        <v>81</v>
      </c>
    </row>
    <row r="149" ht="21" hidden="1">
      <c r="B149" s="48" t="s">
        <v>80</v>
      </c>
    </row>
    <row r="150" ht="21" hidden="1">
      <c r="B150" s="48" t="s">
        <v>82</v>
      </c>
    </row>
    <row r="151" ht="21" hidden="1">
      <c r="B151" s="48" t="s">
        <v>83</v>
      </c>
    </row>
    <row r="152" ht="21" hidden="1">
      <c r="B152" s="48" t="s">
        <v>84</v>
      </c>
    </row>
    <row r="153" ht="21" hidden="1">
      <c r="B153" s="48" t="s">
        <v>85</v>
      </c>
    </row>
    <row r="154" ht="21" hidden="1">
      <c r="B154" s="48" t="s">
        <v>86</v>
      </c>
    </row>
    <row r="155" ht="21" hidden="1">
      <c r="B155" s="48" t="s">
        <v>87</v>
      </c>
    </row>
    <row r="156" ht="21" hidden="1">
      <c r="B156" s="48" t="s">
        <v>88</v>
      </c>
    </row>
    <row r="157" ht="21" hidden="1">
      <c r="B157" s="48" t="s">
        <v>89</v>
      </c>
    </row>
    <row r="158" ht="21" hidden="1">
      <c r="B158" s="48" t="s">
        <v>90</v>
      </c>
    </row>
    <row r="159" ht="21" hidden="1">
      <c r="B159" s="48" t="s">
        <v>91</v>
      </c>
    </row>
    <row r="160" ht="21" hidden="1">
      <c r="B160" s="48" t="s">
        <v>92</v>
      </c>
    </row>
    <row r="161" ht="21" hidden="1">
      <c r="B161" s="48" t="s">
        <v>93</v>
      </c>
    </row>
    <row r="162" ht="21" hidden="1">
      <c r="B162" s="48" t="s">
        <v>94</v>
      </c>
    </row>
    <row r="163" ht="21" hidden="1">
      <c r="B163" s="48" t="s">
        <v>95</v>
      </c>
    </row>
    <row r="164" ht="21" hidden="1">
      <c r="B164" s="48" t="s">
        <v>96</v>
      </c>
    </row>
    <row r="165" ht="21" hidden="1">
      <c r="B165" s="48" t="s">
        <v>97</v>
      </c>
    </row>
    <row r="166" ht="21" hidden="1">
      <c r="B166" s="48" t="s">
        <v>98</v>
      </c>
    </row>
    <row r="167" ht="21" hidden="1">
      <c r="B167" s="48" t="s">
        <v>99</v>
      </c>
    </row>
    <row r="168" ht="21" hidden="1">
      <c r="B168" s="48" t="s">
        <v>100</v>
      </c>
    </row>
    <row r="169" ht="21" hidden="1">
      <c r="B169" s="48" t="s">
        <v>101</v>
      </c>
    </row>
    <row r="170" ht="21" hidden="1">
      <c r="B170" s="48" t="s">
        <v>102</v>
      </c>
    </row>
    <row r="171" ht="21" hidden="1">
      <c r="B171" s="48" t="s">
        <v>103</v>
      </c>
    </row>
    <row r="172" ht="21" hidden="1">
      <c r="B172" s="48" t="s">
        <v>104</v>
      </c>
    </row>
    <row r="173" ht="21" hidden="1">
      <c r="B173" s="48" t="s">
        <v>105</v>
      </c>
    </row>
    <row r="174" ht="21" hidden="1">
      <c r="B174" s="48" t="s">
        <v>106</v>
      </c>
    </row>
    <row r="175" ht="21" hidden="1">
      <c r="B175" s="48" t="s">
        <v>107</v>
      </c>
    </row>
    <row r="176" ht="21" hidden="1">
      <c r="B176" s="48" t="s">
        <v>108</v>
      </c>
    </row>
    <row r="177" ht="21" hidden="1">
      <c r="B177" s="48" t="s">
        <v>109</v>
      </c>
    </row>
    <row r="178" ht="21" hidden="1">
      <c r="B178" s="48" t="s">
        <v>110</v>
      </c>
    </row>
    <row r="179" ht="21" hidden="1">
      <c r="B179" s="48" t="s">
        <v>111</v>
      </c>
    </row>
    <row r="180" ht="21" hidden="1">
      <c r="B180" s="48" t="s">
        <v>112</v>
      </c>
    </row>
    <row r="181" ht="21" hidden="1">
      <c r="B181" s="48" t="s">
        <v>113</v>
      </c>
    </row>
    <row r="182" ht="21" hidden="1">
      <c r="B182" s="48" t="s">
        <v>114</v>
      </c>
    </row>
    <row r="183" ht="21" hidden="1">
      <c r="B183" s="48" t="s">
        <v>115</v>
      </c>
    </row>
    <row r="184" ht="21" hidden="1">
      <c r="B184" s="48" t="s">
        <v>116</v>
      </c>
    </row>
    <row r="185" ht="21" hidden="1">
      <c r="B185" s="48" t="s">
        <v>117</v>
      </c>
    </row>
    <row r="186" ht="21" hidden="1">
      <c r="B186" s="48" t="s">
        <v>118</v>
      </c>
    </row>
    <row r="187" ht="21" hidden="1">
      <c r="B187" s="48" t="s">
        <v>119</v>
      </c>
    </row>
    <row r="188" ht="21" hidden="1">
      <c r="B188" s="48" t="s">
        <v>120</v>
      </c>
    </row>
    <row r="189" ht="21" hidden="1">
      <c r="B189" s="48" t="s">
        <v>121</v>
      </c>
    </row>
    <row r="190" ht="21" hidden="1">
      <c r="B190" s="48" t="s">
        <v>122</v>
      </c>
    </row>
    <row r="191" ht="21" hidden="1">
      <c r="B191" s="48" t="s">
        <v>123</v>
      </c>
    </row>
    <row r="192" ht="21" hidden="1">
      <c r="B192" s="48" t="s">
        <v>124</v>
      </c>
    </row>
    <row r="193" ht="21" hidden="1">
      <c r="B193" s="48" t="s">
        <v>125</v>
      </c>
    </row>
    <row r="194" ht="21" hidden="1">
      <c r="B194" s="48" t="s">
        <v>126</v>
      </c>
    </row>
    <row r="195" ht="21" hidden="1">
      <c r="B195" s="48" t="s">
        <v>127</v>
      </c>
    </row>
    <row r="196" ht="21" hidden="1">
      <c r="B196" s="48" t="s">
        <v>128</v>
      </c>
    </row>
    <row r="197" ht="21" hidden="1">
      <c r="B197" s="48" t="s">
        <v>129</v>
      </c>
    </row>
    <row r="198" ht="21" hidden="1">
      <c r="B198" s="48" t="s">
        <v>130</v>
      </c>
    </row>
    <row r="199" ht="21" hidden="1">
      <c r="B199" s="48" t="s">
        <v>131</v>
      </c>
    </row>
    <row r="200" ht="21" hidden="1">
      <c r="B200" s="48" t="s">
        <v>132</v>
      </c>
    </row>
    <row r="201" ht="21" hidden="1">
      <c r="B201" s="48" t="s">
        <v>133</v>
      </c>
    </row>
    <row r="202" ht="21" hidden="1">
      <c r="B202" s="48" t="s">
        <v>134</v>
      </c>
    </row>
    <row r="203" ht="21" hidden="1">
      <c r="B203" s="48" t="s">
        <v>135</v>
      </c>
    </row>
    <row r="204" ht="21" hidden="1">
      <c r="B204" s="48" t="s">
        <v>136</v>
      </c>
    </row>
    <row r="205" ht="21" hidden="1">
      <c r="B205" s="48" t="s">
        <v>137</v>
      </c>
    </row>
    <row r="206" ht="21" hidden="1">
      <c r="B206" s="48" t="s">
        <v>138</v>
      </c>
    </row>
    <row r="207" ht="21" hidden="1">
      <c r="B207" s="48" t="s">
        <v>139</v>
      </c>
    </row>
    <row r="208" ht="21" hidden="1">
      <c r="B208" s="48" t="s">
        <v>140</v>
      </c>
    </row>
    <row r="209" ht="21" hidden="1">
      <c r="B209" s="48" t="s">
        <v>141</v>
      </c>
    </row>
    <row r="210" ht="21" hidden="1">
      <c r="B210" s="48" t="s">
        <v>142</v>
      </c>
    </row>
    <row r="211" ht="21" hidden="1">
      <c r="B211" s="48" t="s">
        <v>143</v>
      </c>
    </row>
    <row r="212" ht="21" hidden="1">
      <c r="B212" s="48" t="s">
        <v>144</v>
      </c>
    </row>
    <row r="213" ht="21" hidden="1">
      <c r="B213" s="48" t="s">
        <v>145</v>
      </c>
    </row>
    <row r="214" ht="21" hidden="1">
      <c r="B214" s="48" t="s">
        <v>146</v>
      </c>
    </row>
    <row r="215" ht="21" hidden="1">
      <c r="B215" s="48" t="s">
        <v>147</v>
      </c>
    </row>
    <row r="216" ht="21" hidden="1">
      <c r="B216" s="48" t="s">
        <v>148</v>
      </c>
    </row>
    <row r="217" ht="21" hidden="1">
      <c r="B217" s="48" t="s">
        <v>149</v>
      </c>
    </row>
    <row r="218" ht="21" hidden="1">
      <c r="B218" s="48" t="s">
        <v>1041</v>
      </c>
    </row>
    <row r="219" ht="21" hidden="1">
      <c r="B219" s="48" t="s">
        <v>150</v>
      </c>
    </row>
    <row r="220" ht="21" hidden="1">
      <c r="B220" s="48" t="s">
        <v>151</v>
      </c>
    </row>
    <row r="221" ht="21" hidden="1">
      <c r="B221" s="48" t="s">
        <v>152</v>
      </c>
    </row>
    <row r="222" ht="21" hidden="1">
      <c r="B222" s="48" t="s">
        <v>153</v>
      </c>
    </row>
    <row r="223" ht="21" hidden="1">
      <c r="B223" s="48" t="s">
        <v>154</v>
      </c>
    </row>
    <row r="224" ht="21" hidden="1">
      <c r="B224" s="48" t="s">
        <v>155</v>
      </c>
    </row>
    <row r="225" ht="21" hidden="1">
      <c r="B225" s="48" t="s">
        <v>156</v>
      </c>
    </row>
    <row r="226" ht="21" hidden="1">
      <c r="B226" s="48" t="s">
        <v>157</v>
      </c>
    </row>
    <row r="227" ht="21" hidden="1">
      <c r="B227" s="48" t="s">
        <v>158</v>
      </c>
    </row>
    <row r="228" ht="21" hidden="1">
      <c r="B228" s="48" t="s">
        <v>159</v>
      </c>
    </row>
    <row r="229" ht="21" hidden="1">
      <c r="B229" s="48" t="s">
        <v>160</v>
      </c>
    </row>
    <row r="230" ht="21" hidden="1">
      <c r="B230" s="48" t="s">
        <v>161</v>
      </c>
    </row>
    <row r="231" ht="21" hidden="1">
      <c r="B231" s="48" t="s">
        <v>162</v>
      </c>
    </row>
    <row r="232" ht="21" hidden="1">
      <c r="B232" s="48" t="s">
        <v>163</v>
      </c>
    </row>
    <row r="233" ht="21" hidden="1">
      <c r="B233" s="48" t="s">
        <v>164</v>
      </c>
    </row>
    <row r="234" ht="21" hidden="1">
      <c r="B234" s="48" t="s">
        <v>165</v>
      </c>
    </row>
    <row r="235" ht="21" hidden="1">
      <c r="B235" s="48" t="s">
        <v>166</v>
      </c>
    </row>
    <row r="236" ht="21" hidden="1">
      <c r="B236" s="48" t="s">
        <v>167</v>
      </c>
    </row>
    <row r="237" ht="21" hidden="1">
      <c r="B237" s="48" t="s">
        <v>168</v>
      </c>
    </row>
    <row r="238" ht="21" hidden="1">
      <c r="B238" s="48" t="s">
        <v>169</v>
      </c>
    </row>
    <row r="239" ht="21" hidden="1">
      <c r="B239" s="48" t="s">
        <v>170</v>
      </c>
    </row>
    <row r="240" ht="21" hidden="1">
      <c r="B240" s="48" t="s">
        <v>171</v>
      </c>
    </row>
    <row r="241" ht="21" hidden="1">
      <c r="B241" s="48" t="s">
        <v>172</v>
      </c>
    </row>
    <row r="242" ht="21" hidden="1">
      <c r="B242" s="48" t="s">
        <v>173</v>
      </c>
    </row>
    <row r="243" ht="21" hidden="1">
      <c r="B243" s="48" t="s">
        <v>174</v>
      </c>
    </row>
    <row r="244" ht="21" hidden="1">
      <c r="B244" s="48" t="s">
        <v>175</v>
      </c>
    </row>
    <row r="245" ht="21" hidden="1">
      <c r="B245" s="48" t="s">
        <v>176</v>
      </c>
    </row>
    <row r="246" ht="21" hidden="1">
      <c r="B246" s="48" t="s">
        <v>177</v>
      </c>
    </row>
    <row r="247" ht="21" hidden="1">
      <c r="B247" s="48" t="s">
        <v>178</v>
      </c>
    </row>
    <row r="248" ht="21" hidden="1">
      <c r="B248" s="48" t="s">
        <v>179</v>
      </c>
    </row>
    <row r="249" ht="21" hidden="1">
      <c r="B249" s="48" t="s">
        <v>180</v>
      </c>
    </row>
    <row r="250" ht="21" hidden="1">
      <c r="B250" s="48" t="s">
        <v>181</v>
      </c>
    </row>
    <row r="251" ht="21" hidden="1">
      <c r="B251" s="48" t="s">
        <v>182</v>
      </c>
    </row>
    <row r="252" ht="21" hidden="1">
      <c r="B252" s="48" t="s">
        <v>183</v>
      </c>
    </row>
    <row r="253" ht="21" hidden="1">
      <c r="B253" s="48" t="s">
        <v>184</v>
      </c>
    </row>
    <row r="254" ht="21" hidden="1">
      <c r="B254" s="48" t="s">
        <v>185</v>
      </c>
    </row>
    <row r="255" ht="21" hidden="1">
      <c r="B255" s="48" t="s">
        <v>186</v>
      </c>
    </row>
    <row r="256" ht="21" hidden="1">
      <c r="B256" s="48" t="s">
        <v>187</v>
      </c>
    </row>
    <row r="257" ht="21" hidden="1">
      <c r="B257" s="48" t="s">
        <v>188</v>
      </c>
    </row>
    <row r="258" ht="21" hidden="1">
      <c r="B258" s="48" t="s">
        <v>189</v>
      </c>
    </row>
    <row r="259" ht="21" hidden="1">
      <c r="B259" s="48" t="s">
        <v>190</v>
      </c>
    </row>
    <row r="260" ht="21" hidden="1">
      <c r="B260" s="48" t="s">
        <v>191</v>
      </c>
    </row>
    <row r="261" ht="21" hidden="1">
      <c r="B261" s="48" t="s">
        <v>192</v>
      </c>
    </row>
    <row r="262" ht="21" hidden="1">
      <c r="B262" s="48" t="s">
        <v>193</v>
      </c>
    </row>
    <row r="263" ht="21" hidden="1">
      <c r="B263" s="48" t="s">
        <v>194</v>
      </c>
    </row>
    <row r="264" ht="21" hidden="1">
      <c r="B264" s="48" t="s">
        <v>195</v>
      </c>
    </row>
    <row r="265" ht="21" hidden="1">
      <c r="B265" s="48" t="s">
        <v>196</v>
      </c>
    </row>
    <row r="266" ht="21" hidden="1">
      <c r="B266" s="48" t="s">
        <v>197</v>
      </c>
    </row>
    <row r="267" ht="21" hidden="1">
      <c r="B267" s="48" t="s">
        <v>198</v>
      </c>
    </row>
    <row r="268" ht="21" hidden="1">
      <c r="B268" s="48" t="s">
        <v>199</v>
      </c>
    </row>
    <row r="269" ht="21" hidden="1">
      <c r="B269" s="48" t="s">
        <v>200</v>
      </c>
    </row>
    <row r="270" ht="21" hidden="1">
      <c r="B270" s="48" t="s">
        <v>201</v>
      </c>
    </row>
    <row r="271" ht="21" hidden="1">
      <c r="B271" s="48" t="s">
        <v>202</v>
      </c>
    </row>
    <row r="272" ht="21" hidden="1">
      <c r="B272" s="48" t="s">
        <v>203</v>
      </c>
    </row>
    <row r="273" ht="21" hidden="1">
      <c r="B273" s="48" t="s">
        <v>204</v>
      </c>
    </row>
    <row r="274" ht="21" hidden="1">
      <c r="B274" s="48" t="s">
        <v>205</v>
      </c>
    </row>
    <row r="275" ht="21" hidden="1">
      <c r="B275" s="48" t="s">
        <v>206</v>
      </c>
    </row>
    <row r="276" ht="21" hidden="1">
      <c r="B276" s="48" t="s">
        <v>207</v>
      </c>
    </row>
    <row r="277" ht="21" hidden="1">
      <c r="B277" s="48" t="s">
        <v>208</v>
      </c>
    </row>
    <row r="278" ht="21" hidden="1">
      <c r="B278" s="48" t="s">
        <v>209</v>
      </c>
    </row>
    <row r="279" ht="21" hidden="1">
      <c r="B279" s="48" t="s">
        <v>210</v>
      </c>
    </row>
    <row r="280" ht="21" hidden="1">
      <c r="B280" s="48" t="s">
        <v>211</v>
      </c>
    </row>
    <row r="281" ht="21" hidden="1">
      <c r="B281" s="48" t="s">
        <v>212</v>
      </c>
    </row>
    <row r="282" ht="21" hidden="1">
      <c r="B282" s="48" t="s">
        <v>213</v>
      </c>
    </row>
    <row r="283" ht="21" hidden="1">
      <c r="B283" s="48" t="s">
        <v>214</v>
      </c>
    </row>
    <row r="284" ht="21" hidden="1">
      <c r="B284" s="48" t="s">
        <v>215</v>
      </c>
    </row>
    <row r="285" ht="21" hidden="1">
      <c r="B285" s="48" t="s">
        <v>216</v>
      </c>
    </row>
    <row r="286" ht="21" hidden="1">
      <c r="B286" s="48" t="s">
        <v>217</v>
      </c>
    </row>
    <row r="287" ht="21" hidden="1">
      <c r="B287" s="48" t="s">
        <v>218</v>
      </c>
    </row>
    <row r="288" ht="21" hidden="1">
      <c r="B288" s="48" t="s">
        <v>219</v>
      </c>
    </row>
    <row r="289" ht="21" hidden="1">
      <c r="B289" s="48" t="s">
        <v>220</v>
      </c>
    </row>
    <row r="290" ht="21" hidden="1">
      <c r="B290" s="48" t="s">
        <v>221</v>
      </c>
    </row>
    <row r="291" ht="21" hidden="1">
      <c r="B291" s="48" t="s">
        <v>222</v>
      </c>
    </row>
    <row r="292" ht="21" hidden="1">
      <c r="B292" s="48" t="s">
        <v>223</v>
      </c>
    </row>
    <row r="293" ht="21" hidden="1">
      <c r="B293" s="48" t="s">
        <v>224</v>
      </c>
    </row>
    <row r="294" ht="21" hidden="1">
      <c r="B294" s="48" t="s">
        <v>225</v>
      </c>
    </row>
    <row r="295" ht="21" hidden="1">
      <c r="B295" s="48" t="s">
        <v>226</v>
      </c>
    </row>
    <row r="296" ht="21" hidden="1">
      <c r="B296" s="48" t="s">
        <v>227</v>
      </c>
    </row>
    <row r="297" ht="21" hidden="1">
      <c r="B297" s="48" t="s">
        <v>228</v>
      </c>
    </row>
    <row r="298" ht="21" hidden="1">
      <c r="B298" s="48" t="s">
        <v>229</v>
      </c>
    </row>
    <row r="299" ht="21" hidden="1">
      <c r="B299" s="48" t="s">
        <v>230</v>
      </c>
    </row>
    <row r="300" ht="21" hidden="1">
      <c r="B300" s="48" t="s">
        <v>231</v>
      </c>
    </row>
    <row r="301" ht="21" hidden="1">
      <c r="B301" s="48" t="s">
        <v>232</v>
      </c>
    </row>
    <row r="302" ht="21" hidden="1">
      <c r="B302" s="48" t="s">
        <v>233</v>
      </c>
    </row>
    <row r="303" ht="21" hidden="1">
      <c r="B303" s="48" t="s">
        <v>234</v>
      </c>
    </row>
    <row r="304" ht="21" hidden="1">
      <c r="B304" s="48" t="s">
        <v>235</v>
      </c>
    </row>
    <row r="305" ht="21" hidden="1">
      <c r="B305" s="48" t="s">
        <v>236</v>
      </c>
    </row>
    <row r="306" ht="21" hidden="1">
      <c r="B306" s="48" t="s">
        <v>237</v>
      </c>
    </row>
    <row r="307" ht="21" hidden="1">
      <c r="B307" s="48" t="s">
        <v>238</v>
      </c>
    </row>
    <row r="308" ht="21" hidden="1">
      <c r="B308" s="48" t="s">
        <v>239</v>
      </c>
    </row>
    <row r="309" ht="21" hidden="1">
      <c r="B309" s="48" t="s">
        <v>240</v>
      </c>
    </row>
    <row r="310" ht="21" hidden="1">
      <c r="B310" s="48" t="s">
        <v>241</v>
      </c>
    </row>
    <row r="311" ht="21" hidden="1">
      <c r="B311" s="48" t="s">
        <v>242</v>
      </c>
    </row>
    <row r="312" ht="21" hidden="1">
      <c r="B312" s="48" t="s">
        <v>243</v>
      </c>
    </row>
    <row r="313" ht="21" hidden="1">
      <c r="B313" s="48" t="s">
        <v>244</v>
      </c>
    </row>
    <row r="314" ht="21" hidden="1">
      <c r="B314" s="48" t="s">
        <v>245</v>
      </c>
    </row>
    <row r="315" ht="21" hidden="1">
      <c r="B315" s="48" t="s">
        <v>246</v>
      </c>
    </row>
    <row r="316" ht="21" hidden="1">
      <c r="B316" s="48" t="s">
        <v>247</v>
      </c>
    </row>
    <row r="317" ht="21" hidden="1">
      <c r="B317" s="48" t="s">
        <v>248</v>
      </c>
    </row>
    <row r="318" ht="21" hidden="1">
      <c r="B318" s="48" t="s">
        <v>249</v>
      </c>
    </row>
    <row r="319" ht="21" hidden="1">
      <c r="B319" s="48" t="s">
        <v>250</v>
      </c>
    </row>
    <row r="320" ht="21" hidden="1">
      <c r="B320" s="48" t="s">
        <v>251</v>
      </c>
    </row>
    <row r="321" ht="21" hidden="1">
      <c r="B321" s="48" t="s">
        <v>252</v>
      </c>
    </row>
    <row r="322" ht="21" hidden="1">
      <c r="B322" s="48" t="s">
        <v>253</v>
      </c>
    </row>
    <row r="323" ht="21" hidden="1">
      <c r="B323" s="48" t="s">
        <v>254</v>
      </c>
    </row>
    <row r="324" ht="21" hidden="1">
      <c r="B324" s="48" t="s">
        <v>255</v>
      </c>
    </row>
    <row r="325" ht="21" hidden="1">
      <c r="B325" s="48" t="s">
        <v>256</v>
      </c>
    </row>
    <row r="326" ht="21" hidden="1">
      <c r="B326" s="48" t="s">
        <v>257</v>
      </c>
    </row>
    <row r="327" ht="21" hidden="1">
      <c r="B327" s="48" t="s">
        <v>258</v>
      </c>
    </row>
    <row r="328" ht="21" hidden="1">
      <c r="B328" s="48" t="s">
        <v>259</v>
      </c>
    </row>
    <row r="329" ht="21" hidden="1">
      <c r="B329" s="48" t="s">
        <v>260</v>
      </c>
    </row>
    <row r="330" ht="21" hidden="1">
      <c r="B330" s="48" t="s">
        <v>261</v>
      </c>
    </row>
    <row r="331" ht="21" hidden="1">
      <c r="B331" s="48" t="s">
        <v>262</v>
      </c>
    </row>
    <row r="332" ht="21" hidden="1">
      <c r="B332" s="48" t="s">
        <v>263</v>
      </c>
    </row>
    <row r="333" ht="21" hidden="1">
      <c r="B333" s="48" t="s">
        <v>264</v>
      </c>
    </row>
    <row r="334" ht="21" hidden="1">
      <c r="B334" s="48" t="s">
        <v>265</v>
      </c>
    </row>
    <row r="335" ht="21" hidden="1">
      <c r="B335" s="48" t="s">
        <v>266</v>
      </c>
    </row>
    <row r="336" ht="21" hidden="1">
      <c r="B336" s="48" t="s">
        <v>267</v>
      </c>
    </row>
    <row r="337" ht="21" hidden="1">
      <c r="B337" s="48" t="s">
        <v>268</v>
      </c>
    </row>
    <row r="338" ht="21" hidden="1">
      <c r="B338" s="48" t="s">
        <v>269</v>
      </c>
    </row>
    <row r="339" ht="21" hidden="1">
      <c r="B339" s="48" t="s">
        <v>270</v>
      </c>
    </row>
    <row r="340" ht="21" hidden="1">
      <c r="B340" s="48" t="s">
        <v>271</v>
      </c>
    </row>
    <row r="341" ht="21" hidden="1">
      <c r="B341" s="48" t="s">
        <v>272</v>
      </c>
    </row>
    <row r="342" ht="21" hidden="1">
      <c r="B342" s="48" t="s">
        <v>273</v>
      </c>
    </row>
    <row r="343" ht="21" hidden="1">
      <c r="B343" s="48" t="s">
        <v>274</v>
      </c>
    </row>
    <row r="344" ht="21" hidden="1">
      <c r="B344" s="48" t="s">
        <v>275</v>
      </c>
    </row>
    <row r="345" ht="21" hidden="1">
      <c r="B345" s="48" t="s">
        <v>276</v>
      </c>
    </row>
    <row r="346" ht="21" hidden="1">
      <c r="B346" s="48" t="s">
        <v>277</v>
      </c>
    </row>
    <row r="347" ht="21" hidden="1">
      <c r="B347" s="48" t="s">
        <v>278</v>
      </c>
    </row>
    <row r="348" ht="21" hidden="1">
      <c r="B348" s="48" t="s">
        <v>279</v>
      </c>
    </row>
    <row r="349" ht="21" hidden="1">
      <c r="B349" s="48" t="s">
        <v>280</v>
      </c>
    </row>
    <row r="350" ht="21" hidden="1">
      <c r="B350" s="48" t="s">
        <v>281</v>
      </c>
    </row>
    <row r="351" ht="21" hidden="1">
      <c r="B351" s="48" t="s">
        <v>1042</v>
      </c>
    </row>
    <row r="352" ht="21" hidden="1">
      <c r="B352" s="48" t="s">
        <v>282</v>
      </c>
    </row>
    <row r="353" ht="21" hidden="1">
      <c r="B353" s="48" t="s">
        <v>283</v>
      </c>
    </row>
    <row r="354" ht="21" hidden="1">
      <c r="B354" s="48" t="s">
        <v>284</v>
      </c>
    </row>
    <row r="355" ht="21" hidden="1">
      <c r="B355" s="48" t="s">
        <v>285</v>
      </c>
    </row>
    <row r="356" ht="21" hidden="1">
      <c r="B356" s="48" t="s">
        <v>286</v>
      </c>
    </row>
    <row r="357" ht="21" hidden="1">
      <c r="B357" s="48" t="s">
        <v>287</v>
      </c>
    </row>
    <row r="358" ht="21" hidden="1">
      <c r="B358" s="48" t="s">
        <v>288</v>
      </c>
    </row>
    <row r="359" ht="21" hidden="1">
      <c r="B359" s="48" t="s">
        <v>289</v>
      </c>
    </row>
    <row r="360" ht="21" hidden="1">
      <c r="B360" s="48" t="s">
        <v>290</v>
      </c>
    </row>
    <row r="361" ht="21" hidden="1">
      <c r="B361" s="48" t="s">
        <v>291</v>
      </c>
    </row>
    <row r="362" ht="21" hidden="1">
      <c r="B362" s="48" t="s">
        <v>292</v>
      </c>
    </row>
    <row r="363" ht="21" hidden="1">
      <c r="B363" s="48" t="s">
        <v>293</v>
      </c>
    </row>
    <row r="364" ht="21" hidden="1">
      <c r="B364" s="48" t="s">
        <v>294</v>
      </c>
    </row>
    <row r="365" ht="21" hidden="1">
      <c r="B365" s="48" t="s">
        <v>295</v>
      </c>
    </row>
    <row r="366" ht="21" hidden="1">
      <c r="B366" s="48" t="s">
        <v>296</v>
      </c>
    </row>
    <row r="367" ht="21" hidden="1">
      <c r="B367" s="48" t="s">
        <v>297</v>
      </c>
    </row>
    <row r="368" ht="21" hidden="1">
      <c r="B368" s="48" t="s">
        <v>298</v>
      </c>
    </row>
    <row r="369" ht="21" hidden="1">
      <c r="B369" s="48" t="s">
        <v>299</v>
      </c>
    </row>
    <row r="370" ht="21" hidden="1">
      <c r="B370" s="48" t="s">
        <v>300</v>
      </c>
    </row>
    <row r="371" ht="21" hidden="1">
      <c r="B371" s="48" t="s">
        <v>301</v>
      </c>
    </row>
    <row r="372" ht="21" hidden="1">
      <c r="B372" s="496" t="s">
        <v>302</v>
      </c>
    </row>
    <row r="373" ht="21" hidden="1"/>
    <row r="374" ht="21" hidden="1">
      <c r="B374" s="63" t="s">
        <v>796</v>
      </c>
    </row>
    <row r="375" ht="21" hidden="1">
      <c r="B375" s="48" t="s">
        <v>584</v>
      </c>
    </row>
    <row r="376" ht="21" hidden="1">
      <c r="B376" s="48" t="s">
        <v>585</v>
      </c>
    </row>
    <row r="377" ht="21" hidden="1">
      <c r="B377" s="48" t="s">
        <v>586</v>
      </c>
    </row>
    <row r="378" ht="21" hidden="1">
      <c r="B378" s="48" t="s">
        <v>587</v>
      </c>
    </row>
    <row r="379" ht="21" hidden="1">
      <c r="B379" s="48" t="s">
        <v>588</v>
      </c>
    </row>
    <row r="380" ht="21" hidden="1">
      <c r="B380" s="48" t="s">
        <v>589</v>
      </c>
    </row>
    <row r="381" ht="21" hidden="1">
      <c r="B381" s="48" t="s">
        <v>590</v>
      </c>
    </row>
    <row r="382" ht="21" hidden="1">
      <c r="B382" s="48" t="s">
        <v>591</v>
      </c>
    </row>
    <row r="383" ht="21" hidden="1">
      <c r="B383" s="48" t="s">
        <v>592</v>
      </c>
    </row>
    <row r="384" ht="21" hidden="1">
      <c r="B384" s="48" t="s">
        <v>593</v>
      </c>
    </row>
    <row r="385" ht="21" hidden="1">
      <c r="B385" s="48" t="s">
        <v>594</v>
      </c>
    </row>
    <row r="386" ht="21" hidden="1">
      <c r="B386" s="48" t="s">
        <v>595</v>
      </c>
    </row>
    <row r="387" ht="21" hidden="1">
      <c r="B387" s="48" t="s">
        <v>596</v>
      </c>
    </row>
    <row r="388" ht="21" hidden="1">
      <c r="B388" s="48" t="s">
        <v>597</v>
      </c>
    </row>
    <row r="389" ht="21" hidden="1">
      <c r="B389" s="48" t="s">
        <v>598</v>
      </c>
    </row>
    <row r="390" ht="21" customHeight="1" hidden="1">
      <c r="B390" s="48" t="s">
        <v>599</v>
      </c>
    </row>
  </sheetData>
  <sheetProtection password="D502" sheet="1" objects="1" scenarios="1"/>
  <protectedRanges>
    <protectedRange sqref="C5:D7 C10:D20 C23:C25 C30 C32:C34 C43:C45 C38:C40" name="ช่วง1"/>
  </protectedRanges>
  <mergeCells count="7">
    <mergeCell ref="C6:D6"/>
    <mergeCell ref="C12:D12"/>
    <mergeCell ref="C11:D11"/>
    <mergeCell ref="C19:D19"/>
    <mergeCell ref="C18:D18"/>
    <mergeCell ref="C17:D17"/>
    <mergeCell ref="C16:D16"/>
  </mergeCells>
  <conditionalFormatting sqref="C5 C7 C10 C13:C15 C20 C23:C25 C30 C32:C34 C43:C45 C6:D6 C11:D12 C16:D19 C38:C40">
    <cfRule type="expression" priority="4" dxfId="15" stopIfTrue="1">
      <formula>C5&lt;&gt;""</formula>
    </cfRule>
  </conditionalFormatting>
  <dataValidations count="6">
    <dataValidation type="textLength" operator="equal" allowBlank="1" showInputMessage="1" showErrorMessage="1" errorTitle="ป้อนข้อมูลไม่ถูกต้อง" error="เลขประจำตัวผู้เสียภาษีมีจำนวน 10 หลัก โปรดตรวจสอบตัวเลขที่ป้อนใหม่อีกครั้ง" sqref="C7">
      <formula1>10</formula1>
    </dataValidation>
    <dataValidation type="list" allowBlank="1" showInputMessage="1" showErrorMessage="1" errorTitle="ป้อนข้อมูลผิดพลาด" error="กรุณาป้อนข้อมูลจังหวัดให้ถูกต้อง" sqref="C14">
      <formula1>$B$69:$B$145</formula1>
    </dataValidation>
    <dataValidation type="list" allowBlank="1" showInputMessage="1" showErrorMessage="1" errorTitle="ป้อนข้อมูลผิดพลาด" error="กรุณาป้อนคำนำหน้าหน่วยประเมิน โดยเลือกจากList" sqref="C5">
      <formula1>$B$48:$B$53</formula1>
    </dataValidation>
    <dataValidation type="list" allowBlank="1" showInputMessage="1" showErrorMessage="1" errorTitle="ป้อนข้อมูลผิดพลาด" error="กรุณาป้อนข้อมูลเขตพื้นที่การศึกษา โดยเลือกจาก List" sqref="C18:D18">
      <formula1>$B$148:$B$372</formula1>
    </dataValidation>
    <dataValidation type="list" allowBlank="1" showInputMessage="1" showErrorMessage="1" errorTitle="ป้อนข้อมูลไม่ถูกต้อง" error="กรุณาป้อนข้อมูลสังกัด โดยเลือกจาก List" sqref="C19:D19">
      <formula1>$B$375:$B$390</formula1>
    </dataValidation>
    <dataValidation type="list" allowBlank="1" showInputMessage="1" showErrorMessage="1" errorTitle="ป้อนข้อมูลไม่ถูกต้อง" error="กรุณาป้อนข้อมูลชั้นเรียนที่เปิดสอน โดยเลือกจาก List" sqref="C20">
      <formula1>$B$56:$B$66</formula1>
    </dataValidation>
  </dataValidations>
  <printOptions/>
  <pageMargins left="0.91" right="0.1968503937007874" top="0.2362204724409449" bottom="0.15748031496062992" header="0.35433070866141736" footer="0.1968503937007874"/>
  <pageSetup horizontalDpi="600" verticalDpi="600" orientation="portrait" paperSize="9" scale="95" r:id="rId3"/>
  <headerFooter alignWithMargins="0">
    <oddFooter>&amp;L&amp;7&amp;Z&amp;F&amp;R &amp;"BrowalliaUPC,ธรรมดา"&amp;14  รับรองข้อมูลถูกต้อง    
..........................................</oddFooter>
  </headerFooter>
  <rowBreaks count="2" manualBreakCount="2">
    <brk id="36" max="4" man="1"/>
    <brk id="54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76"/>
  <sheetViews>
    <sheetView zoomScale="70" zoomScaleNormal="70" zoomScaleSheetLayoutView="85" zoomScalePageLayoutView="0" workbookViewId="0" topLeftCell="A22">
      <selection activeCell="C37" sqref="C37:C39"/>
    </sheetView>
  </sheetViews>
  <sheetFormatPr defaultColWidth="8.00390625" defaultRowHeight="14.25"/>
  <cols>
    <col min="1" max="1" width="14.00390625" style="6" customWidth="1"/>
    <col min="2" max="2" width="5.625" style="4" customWidth="1"/>
    <col min="3" max="9" width="8.00390625" style="4" customWidth="1"/>
    <col min="10" max="10" width="16.875" style="4" customWidth="1"/>
    <col min="11" max="16384" width="8.00390625" style="4" customWidth="1"/>
  </cols>
  <sheetData>
    <row r="1" spans="1:2" ht="20.25" customHeight="1">
      <c r="A1" s="6">
        <v>6.1</v>
      </c>
      <c r="B1" s="3" t="s">
        <v>647</v>
      </c>
    </row>
    <row r="2" spans="2:3" ht="20.25">
      <c r="B2" s="89">
        <v>0</v>
      </c>
      <c r="C2" s="615" t="s">
        <v>927</v>
      </c>
    </row>
    <row r="3" spans="2:3" ht="20.25">
      <c r="B3" s="89">
        <v>1</v>
      </c>
      <c r="C3" s="7" t="s">
        <v>646</v>
      </c>
    </row>
    <row r="4" spans="2:5" ht="20.25">
      <c r="B4" s="89">
        <v>2</v>
      </c>
      <c r="C4" s="4" t="s">
        <v>666</v>
      </c>
      <c r="D4" s="90"/>
      <c r="E4" s="90"/>
    </row>
    <row r="5" spans="2:5" ht="20.25">
      <c r="B5" s="89">
        <v>3</v>
      </c>
      <c r="C5" s="91" t="s">
        <v>669</v>
      </c>
      <c r="D5" s="90"/>
      <c r="E5" s="90"/>
    </row>
    <row r="6" spans="2:5" ht="20.25">
      <c r="B6" s="89">
        <v>4</v>
      </c>
      <c r="C6" s="90" t="s">
        <v>672</v>
      </c>
      <c r="D6" s="90"/>
      <c r="E6" s="90"/>
    </row>
    <row r="7" spans="2:5" ht="20.25">
      <c r="B7" s="89">
        <v>5</v>
      </c>
      <c r="C7" s="90" t="s">
        <v>675</v>
      </c>
      <c r="D7" s="90"/>
      <c r="E7" s="90"/>
    </row>
    <row r="8" spans="2:5" ht="20.25">
      <c r="B8" s="89"/>
      <c r="C8" s="90"/>
      <c r="D8" s="90"/>
      <c r="E8" s="90"/>
    </row>
    <row r="9" spans="1:2" ht="20.25">
      <c r="A9" s="6">
        <v>6.2</v>
      </c>
      <c r="B9" s="7" t="s">
        <v>648</v>
      </c>
    </row>
    <row r="10" spans="2:3" ht="20.25">
      <c r="B10" s="5">
        <v>1</v>
      </c>
      <c r="C10" s="7" t="s">
        <v>680</v>
      </c>
    </row>
    <row r="11" spans="2:3" ht="20.25">
      <c r="B11" s="5">
        <v>2</v>
      </c>
      <c r="C11" s="7" t="s">
        <v>683</v>
      </c>
    </row>
    <row r="12" spans="2:3" ht="20.25">
      <c r="B12" s="5">
        <v>3</v>
      </c>
      <c r="C12" s="7" t="s">
        <v>681</v>
      </c>
    </row>
    <row r="13" spans="2:3" ht="20.25">
      <c r="B13" s="5">
        <v>4</v>
      </c>
      <c r="C13" s="7" t="s">
        <v>684</v>
      </c>
    </row>
    <row r="14" spans="2:3" ht="20.25">
      <c r="B14" s="5">
        <v>5</v>
      </c>
      <c r="C14" s="4" t="s">
        <v>685</v>
      </c>
    </row>
    <row r="15" ht="20.25">
      <c r="B15" s="5"/>
    </row>
    <row r="16" spans="1:2" ht="20.25">
      <c r="A16" s="233" t="s">
        <v>649</v>
      </c>
      <c r="B16" s="7" t="s">
        <v>650</v>
      </c>
    </row>
    <row r="17" spans="2:3" ht="20.25">
      <c r="B17" s="5">
        <v>0</v>
      </c>
      <c r="C17" s="4" t="s">
        <v>932</v>
      </c>
    </row>
    <row r="18" spans="2:3" ht="20.25">
      <c r="B18" s="5">
        <v>0.5</v>
      </c>
      <c r="C18" s="4" t="s">
        <v>931</v>
      </c>
    </row>
    <row r="19" spans="2:3" ht="20.25">
      <c r="B19" s="5">
        <v>1</v>
      </c>
      <c r="C19" s="4" t="s">
        <v>930</v>
      </c>
    </row>
    <row r="20" spans="2:3" ht="20.25">
      <c r="B20" s="5">
        <v>1.5</v>
      </c>
      <c r="C20" s="4" t="s">
        <v>929</v>
      </c>
    </row>
    <row r="21" spans="2:3" ht="20.25">
      <c r="B21" s="5">
        <v>2</v>
      </c>
      <c r="C21" s="7" t="s">
        <v>928</v>
      </c>
    </row>
    <row r="22" ht="20.25">
      <c r="B22" s="5"/>
    </row>
    <row r="23" spans="1:2" ht="20.25">
      <c r="A23" s="233" t="s">
        <v>651</v>
      </c>
      <c r="B23" s="7" t="s">
        <v>652</v>
      </c>
    </row>
    <row r="24" spans="2:3" ht="20.25">
      <c r="B24" s="5">
        <v>0.2</v>
      </c>
      <c r="C24" s="7" t="s">
        <v>682</v>
      </c>
    </row>
    <row r="25" spans="2:3" ht="20.25">
      <c r="B25" s="5">
        <v>0.4</v>
      </c>
      <c r="C25" s="7" t="s">
        <v>653</v>
      </c>
    </row>
    <row r="26" spans="2:3" ht="20.25">
      <c r="B26" s="5">
        <v>0.6</v>
      </c>
      <c r="C26" s="7" t="s">
        <v>654</v>
      </c>
    </row>
    <row r="27" spans="2:3" ht="20.25">
      <c r="B27" s="5">
        <v>0.8</v>
      </c>
      <c r="C27" s="7" t="s">
        <v>655</v>
      </c>
    </row>
    <row r="28" spans="2:3" ht="20.25">
      <c r="B28" s="5">
        <v>1</v>
      </c>
      <c r="C28" s="7" t="s">
        <v>656</v>
      </c>
    </row>
    <row r="29" ht="20.25">
      <c r="B29" s="5"/>
    </row>
    <row r="30" spans="1:14" ht="22.5">
      <c r="A30" s="233" t="s">
        <v>657</v>
      </c>
      <c r="B30" s="7" t="s">
        <v>658</v>
      </c>
      <c r="I30" s="234"/>
      <c r="J30" s="234"/>
      <c r="K30" s="234"/>
      <c r="L30" s="234"/>
      <c r="M30" s="235"/>
      <c r="N30" s="235"/>
    </row>
    <row r="31" spans="2:14" ht="22.5">
      <c r="B31" s="5">
        <v>0</v>
      </c>
      <c r="C31" s="7" t="s">
        <v>967</v>
      </c>
      <c r="I31" s="234"/>
      <c r="J31" s="234"/>
      <c r="K31" s="234"/>
      <c r="L31" s="234"/>
      <c r="M31" s="235"/>
      <c r="N31" s="235"/>
    </row>
    <row r="32" spans="2:14" ht="20.25">
      <c r="B32" s="5">
        <v>0.5</v>
      </c>
      <c r="C32" s="7" t="s">
        <v>966</v>
      </c>
      <c r="I32" s="235"/>
      <c r="J32" s="235"/>
      <c r="K32" s="235"/>
      <c r="L32" s="235"/>
      <c r="M32" s="235"/>
      <c r="N32" s="235"/>
    </row>
    <row r="33" spans="2:14" ht="20.25">
      <c r="B33" s="5">
        <v>1</v>
      </c>
      <c r="C33" s="7" t="s">
        <v>968</v>
      </c>
      <c r="I33" s="235"/>
      <c r="J33" s="235"/>
      <c r="K33" s="235"/>
      <c r="L33" s="235"/>
      <c r="M33" s="235"/>
      <c r="N33" s="235"/>
    </row>
    <row r="34" spans="2:14" ht="20.25">
      <c r="B34" s="5">
        <v>2</v>
      </c>
      <c r="C34" s="7" t="s">
        <v>969</v>
      </c>
      <c r="I34" s="235"/>
      <c r="J34" s="235"/>
      <c r="K34" s="235"/>
      <c r="L34" s="235"/>
      <c r="M34" s="235"/>
      <c r="N34" s="235"/>
    </row>
    <row r="36" spans="1:2" ht="20.25">
      <c r="A36" s="233">
        <v>8</v>
      </c>
      <c r="B36" s="7" t="s">
        <v>659</v>
      </c>
    </row>
    <row r="37" spans="2:3" ht="20.25">
      <c r="B37" s="5">
        <v>2.5</v>
      </c>
      <c r="C37" s="615" t="s">
        <v>934</v>
      </c>
    </row>
    <row r="38" spans="2:3" ht="20.25">
      <c r="B38" s="5">
        <v>1.25</v>
      </c>
      <c r="C38" s="615" t="s">
        <v>935</v>
      </c>
    </row>
    <row r="39" spans="2:3" ht="20.25">
      <c r="B39" s="5">
        <v>0</v>
      </c>
      <c r="C39" s="615" t="s">
        <v>936</v>
      </c>
    </row>
    <row r="40" ht="20.25">
      <c r="B40" s="5"/>
    </row>
    <row r="41" spans="1:2" ht="20.25">
      <c r="A41" s="6">
        <v>9</v>
      </c>
      <c r="B41" s="7" t="s">
        <v>645</v>
      </c>
    </row>
    <row r="42" spans="2:3" ht="20.25">
      <c r="B42" s="236">
        <v>0</v>
      </c>
      <c r="C42" s="4" t="s">
        <v>662</v>
      </c>
    </row>
    <row r="43" spans="2:3" ht="20.25">
      <c r="B43" s="5">
        <v>1</v>
      </c>
      <c r="C43" s="4" t="s">
        <v>664</v>
      </c>
    </row>
    <row r="44" spans="2:3" ht="20.25">
      <c r="B44" s="5">
        <v>2</v>
      </c>
      <c r="C44" s="4" t="s">
        <v>667</v>
      </c>
    </row>
    <row r="45" spans="2:3" ht="20.25">
      <c r="B45" s="5">
        <v>3</v>
      </c>
      <c r="C45" s="4" t="s">
        <v>670</v>
      </c>
    </row>
    <row r="46" spans="2:3" ht="20.25">
      <c r="B46" s="5">
        <v>4</v>
      </c>
      <c r="C46" s="4" t="s">
        <v>673</v>
      </c>
    </row>
    <row r="47" spans="2:3" ht="20.25">
      <c r="B47" s="5">
        <v>5</v>
      </c>
      <c r="C47" s="4" t="s">
        <v>676</v>
      </c>
    </row>
    <row r="49" spans="1:2" ht="20.25">
      <c r="A49" s="6">
        <v>10</v>
      </c>
      <c r="B49" s="7" t="s">
        <v>660</v>
      </c>
    </row>
    <row r="50" spans="2:3" ht="20.25">
      <c r="B50" s="236">
        <v>0</v>
      </c>
      <c r="C50" s="4" t="s">
        <v>662</v>
      </c>
    </row>
    <row r="51" spans="2:3" ht="20.25">
      <c r="B51" s="5">
        <v>1</v>
      </c>
      <c r="C51" s="4" t="s">
        <v>664</v>
      </c>
    </row>
    <row r="52" spans="2:3" ht="20.25">
      <c r="B52" s="5">
        <v>2</v>
      </c>
      <c r="C52" s="4" t="s">
        <v>667</v>
      </c>
    </row>
    <row r="53" spans="2:3" ht="20.25">
      <c r="B53" s="5">
        <v>3</v>
      </c>
      <c r="C53" s="4" t="s">
        <v>670</v>
      </c>
    </row>
    <row r="54" spans="2:3" ht="20.25">
      <c r="B54" s="5">
        <v>4</v>
      </c>
      <c r="C54" s="4" t="s">
        <v>673</v>
      </c>
    </row>
    <row r="55" spans="2:3" ht="20.25">
      <c r="B55" s="5">
        <v>5</v>
      </c>
      <c r="C55" s="4" t="s">
        <v>676</v>
      </c>
    </row>
    <row r="57" spans="1:2" ht="20.25">
      <c r="A57" s="6">
        <v>11</v>
      </c>
      <c r="B57" s="7" t="s">
        <v>645</v>
      </c>
    </row>
    <row r="58" spans="2:3" ht="20.25">
      <c r="B58" s="236">
        <v>0</v>
      </c>
      <c r="C58" s="4" t="s">
        <v>662</v>
      </c>
    </row>
    <row r="59" spans="2:3" ht="20.25">
      <c r="B59" s="5">
        <v>0.5</v>
      </c>
      <c r="C59" s="4" t="s">
        <v>664</v>
      </c>
    </row>
    <row r="60" spans="2:3" ht="20.25">
      <c r="B60" s="5">
        <v>1</v>
      </c>
      <c r="C60" s="4" t="s">
        <v>667</v>
      </c>
    </row>
    <row r="61" spans="2:3" ht="20.25">
      <c r="B61" s="5">
        <v>1.5</v>
      </c>
      <c r="C61" s="4" t="s">
        <v>670</v>
      </c>
    </row>
    <row r="62" spans="2:3" ht="20.25">
      <c r="B62" s="5">
        <v>2</v>
      </c>
      <c r="C62" s="615" t="s">
        <v>673</v>
      </c>
    </row>
    <row r="64" spans="1:2" s="90" customFormat="1" ht="20.25">
      <c r="A64" s="445">
        <v>11</v>
      </c>
      <c r="B64" s="444" t="s">
        <v>659</v>
      </c>
    </row>
    <row r="65" spans="1:3" s="90" customFormat="1" ht="20.25">
      <c r="A65" s="445"/>
      <c r="B65" s="89">
        <v>0</v>
      </c>
      <c r="C65" s="444" t="s">
        <v>814</v>
      </c>
    </row>
    <row r="66" spans="1:3" s="90" customFormat="1" ht="20.25">
      <c r="A66" s="445"/>
      <c r="B66" s="89">
        <v>1</v>
      </c>
      <c r="C66" s="90" t="s">
        <v>678</v>
      </c>
    </row>
    <row r="67" spans="1:3" s="90" customFormat="1" ht="20.25">
      <c r="A67" s="445"/>
      <c r="B67" s="89">
        <v>2</v>
      </c>
      <c r="C67" s="90" t="s">
        <v>679</v>
      </c>
    </row>
    <row r="68" spans="1:3" s="90" customFormat="1" ht="20.25">
      <c r="A68" s="445"/>
      <c r="B68" s="89">
        <v>3</v>
      </c>
      <c r="C68" s="624" t="s">
        <v>959</v>
      </c>
    </row>
    <row r="70" spans="1:2" ht="20.25">
      <c r="A70" s="6">
        <v>12</v>
      </c>
      <c r="B70" s="7" t="s">
        <v>661</v>
      </c>
    </row>
    <row r="71" spans="2:3" ht="20.25">
      <c r="B71" s="236">
        <v>0</v>
      </c>
      <c r="C71" s="4" t="s">
        <v>663</v>
      </c>
    </row>
    <row r="72" spans="2:3" ht="20.25">
      <c r="B72" s="5">
        <v>1</v>
      </c>
      <c r="C72" s="4" t="s">
        <v>665</v>
      </c>
    </row>
    <row r="73" spans="2:3" ht="20.25">
      <c r="B73" s="5">
        <v>2</v>
      </c>
      <c r="C73" s="4" t="s">
        <v>668</v>
      </c>
    </row>
    <row r="74" spans="2:3" ht="20.25">
      <c r="B74" s="5">
        <v>3</v>
      </c>
      <c r="C74" s="4" t="s">
        <v>671</v>
      </c>
    </row>
    <row r="75" spans="2:3" ht="20.25">
      <c r="B75" s="5">
        <v>4</v>
      </c>
      <c r="C75" s="4" t="s">
        <v>674</v>
      </c>
    </row>
    <row r="76" spans="2:3" ht="20.25">
      <c r="B76" s="5">
        <v>5</v>
      </c>
      <c r="C76" s="4" t="s">
        <v>677</v>
      </c>
    </row>
  </sheetData>
  <sheetProtection/>
  <printOptions/>
  <pageMargins left="0.75" right="0.75" top="0.38" bottom="0.21" header="0.5" footer="0.5"/>
  <pageSetup horizontalDpi="600" verticalDpi="600" orientation="portrait" paperSize="9" scale="87" r:id="rId1"/>
  <rowBreaks count="2" manualBreakCount="2">
    <brk id="39" max="9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7"/>
  </sheetPr>
  <dimension ref="A1:X69"/>
  <sheetViews>
    <sheetView showGridLines="0" zoomScale="85" zoomScaleNormal="85" zoomScalePageLayoutView="0" workbookViewId="0" topLeftCell="A1">
      <selection activeCell="C5" sqref="C5"/>
    </sheetView>
  </sheetViews>
  <sheetFormatPr defaultColWidth="8.00390625" defaultRowHeight="14.25"/>
  <cols>
    <col min="1" max="1" width="12.375" style="47" customWidth="1"/>
    <col min="2" max="2" width="22.875" style="47" customWidth="1"/>
    <col min="3" max="3" width="13.375" style="48" customWidth="1"/>
    <col min="4" max="4" width="13.375" style="47" customWidth="1"/>
    <col min="5" max="5" width="2.125" style="47" customWidth="1"/>
    <col min="6" max="6" width="24.50390625" style="47" customWidth="1"/>
    <col min="7" max="7" width="1.875" style="47" customWidth="1"/>
    <col min="8" max="8" width="2.375" style="47" customWidth="1"/>
    <col min="9" max="9" width="0.875" style="47" customWidth="1"/>
    <col min="10" max="13" width="3.00390625" style="47" customWidth="1"/>
    <col min="14" max="14" width="0.875" style="47" customWidth="1"/>
    <col min="15" max="19" width="2.375" style="47" customWidth="1"/>
    <col min="20" max="20" width="0.875" style="47" customWidth="1"/>
    <col min="21" max="22" width="2.625" style="47" customWidth="1"/>
    <col min="23" max="23" width="0.875" style="47" customWidth="1"/>
    <col min="24" max="24" width="2.625" style="47" customWidth="1"/>
    <col min="25" max="16384" width="8.00390625" style="47" customWidth="1"/>
  </cols>
  <sheetData>
    <row r="1" ht="23.25">
      <c r="A1" s="46" t="s">
        <v>600</v>
      </c>
    </row>
    <row r="2" ht="21">
      <c r="A2" s="49" t="s">
        <v>802</v>
      </c>
    </row>
    <row r="3" spans="2:3" ht="21">
      <c r="B3" s="52"/>
      <c r="C3" s="61"/>
    </row>
    <row r="4" spans="2:4" ht="21.75" thickBot="1">
      <c r="B4" s="50" t="s">
        <v>601</v>
      </c>
      <c r="C4" s="577"/>
      <c r="D4" s="663"/>
    </row>
    <row r="5" spans="2:4" ht="21.75" thickBot="1">
      <c r="B5" s="52" t="s">
        <v>602</v>
      </c>
      <c r="C5" s="64"/>
      <c r="D5" s="664"/>
    </row>
    <row r="6" spans="2:4" ht="21.75" thickBot="1">
      <c r="B6" s="52" t="s">
        <v>603</v>
      </c>
      <c r="C6" s="64"/>
      <c r="D6" s="664"/>
    </row>
    <row r="7" spans="2:4" ht="21.75" thickBot="1">
      <c r="B7" s="52" t="s">
        <v>604</v>
      </c>
      <c r="C7" s="64"/>
      <c r="D7" s="664"/>
    </row>
    <row r="8" spans="2:4" ht="21.75" thickBot="1">
      <c r="B8" s="52" t="s">
        <v>605</v>
      </c>
      <c r="C8" s="65" t="str">
        <f>IF((COUNT(C5:C7)&gt;=1),SUM(C5:C7),"Auto-Calculate")</f>
        <v>Auto-Calculate</v>
      </c>
      <c r="D8" s="665"/>
    </row>
    <row r="9" spans="2:4" ht="21.75" thickBot="1">
      <c r="B9" s="52" t="s">
        <v>606</v>
      </c>
      <c r="C9" s="62"/>
      <c r="D9" s="665"/>
    </row>
    <row r="10" spans="2:4" ht="21.75" thickBot="1">
      <c r="B10" s="52" t="s">
        <v>607</v>
      </c>
      <c r="C10" s="62"/>
      <c r="D10" s="665"/>
    </row>
    <row r="11" spans="2:3" ht="21.75" thickBot="1">
      <c r="B11" s="58"/>
      <c r="C11" s="61"/>
    </row>
    <row r="12" spans="2:11" ht="21.75" thickBot="1">
      <c r="B12" s="50" t="s">
        <v>608</v>
      </c>
      <c r="C12" s="673" t="s">
        <v>609</v>
      </c>
      <c r="D12" s="673"/>
      <c r="E12" s="673"/>
      <c r="F12" s="674"/>
      <c r="G12" s="66"/>
      <c r="H12" s="676">
        <f ca="1">TODAY()</f>
        <v>41815</v>
      </c>
      <c r="I12" s="677"/>
      <c r="J12" s="677"/>
      <c r="K12" s="678"/>
    </row>
    <row r="13" spans="2:4" ht="21.75" thickBot="1">
      <c r="B13" s="52" t="s">
        <v>610</v>
      </c>
      <c r="C13" s="67"/>
      <c r="D13" s="68"/>
    </row>
    <row r="14" spans="2:4" ht="21.75" thickBot="1">
      <c r="B14" s="52" t="s">
        <v>611</v>
      </c>
      <c r="C14" s="67"/>
      <c r="D14" s="68"/>
    </row>
    <row r="15" spans="2:4" ht="21.75" thickBot="1">
      <c r="B15" s="52" t="s">
        <v>612</v>
      </c>
      <c r="C15" s="67"/>
      <c r="D15" s="68"/>
    </row>
    <row r="17" ht="21">
      <c r="B17" s="51" t="s">
        <v>613</v>
      </c>
    </row>
    <row r="18" spans="3:24" s="61" customFormat="1" ht="21.75" thickBot="1">
      <c r="C18" s="61" t="s">
        <v>614</v>
      </c>
      <c r="D18" s="61" t="s">
        <v>615</v>
      </c>
      <c r="F18" s="61" t="s">
        <v>616</v>
      </c>
      <c r="H18" s="679" t="s">
        <v>617</v>
      </c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</row>
    <row r="19" spans="2:24" ht="21.75" thickBot="1">
      <c r="B19" s="52" t="s">
        <v>618</v>
      </c>
      <c r="C19" s="70"/>
      <c r="D19" s="70"/>
      <c r="F19" s="70"/>
      <c r="G19" s="71"/>
      <c r="H19" s="72"/>
      <c r="I19" s="73"/>
      <c r="J19" s="72"/>
      <c r="K19" s="72"/>
      <c r="L19" s="72"/>
      <c r="M19" s="72"/>
      <c r="N19" s="73"/>
      <c r="O19" s="72"/>
      <c r="P19" s="72"/>
      <c r="Q19" s="72"/>
      <c r="R19" s="72"/>
      <c r="S19" s="72"/>
      <c r="T19" s="73"/>
      <c r="U19" s="72"/>
      <c r="V19" s="72"/>
      <c r="W19" s="73"/>
      <c r="X19" s="72"/>
    </row>
    <row r="20" spans="2:24" s="76" customFormat="1" ht="8.25" customHeight="1" thickBot="1">
      <c r="B20" s="74"/>
      <c r="C20" s="75"/>
      <c r="H20" s="77"/>
      <c r="I20" s="69"/>
      <c r="J20" s="77"/>
      <c r="K20" s="77"/>
      <c r="L20" s="77"/>
      <c r="M20" s="77"/>
      <c r="N20" s="69"/>
      <c r="O20" s="77"/>
      <c r="P20" s="77"/>
      <c r="Q20" s="77"/>
      <c r="R20" s="77"/>
      <c r="S20" s="77"/>
      <c r="T20" s="69"/>
      <c r="U20" s="77"/>
      <c r="V20" s="77"/>
      <c r="W20" s="69"/>
      <c r="X20" s="77"/>
    </row>
    <row r="21" spans="2:24" ht="21.75" thickBot="1">
      <c r="B21" s="52" t="s">
        <v>619</v>
      </c>
      <c r="C21" s="70"/>
      <c r="D21" s="70"/>
      <c r="F21" s="70"/>
      <c r="G21" s="71"/>
      <c r="H21" s="72"/>
      <c r="I21" s="73"/>
      <c r="J21" s="72"/>
      <c r="K21" s="72"/>
      <c r="L21" s="72"/>
      <c r="M21" s="72"/>
      <c r="N21" s="73"/>
      <c r="O21" s="72"/>
      <c r="P21" s="72"/>
      <c r="Q21" s="72"/>
      <c r="R21" s="72"/>
      <c r="S21" s="72"/>
      <c r="T21" s="73"/>
      <c r="U21" s="72"/>
      <c r="V21" s="72"/>
      <c r="W21" s="73"/>
      <c r="X21" s="72"/>
    </row>
    <row r="22" spans="2:24" s="76" customFormat="1" ht="8.25" customHeight="1" thickBot="1">
      <c r="B22" s="74"/>
      <c r="C22" s="75"/>
      <c r="H22" s="77"/>
      <c r="I22" s="69"/>
      <c r="J22" s="77"/>
      <c r="K22" s="77"/>
      <c r="L22" s="77"/>
      <c r="M22" s="77"/>
      <c r="N22" s="69"/>
      <c r="O22" s="77"/>
      <c r="P22" s="77"/>
      <c r="Q22" s="77"/>
      <c r="R22" s="77"/>
      <c r="S22" s="77"/>
      <c r="T22" s="69"/>
      <c r="U22" s="77"/>
      <c r="V22" s="77"/>
      <c r="W22" s="69"/>
      <c r="X22" s="77"/>
    </row>
    <row r="23" spans="2:24" ht="21.75" thickBot="1">
      <c r="B23" s="52" t="s">
        <v>620</v>
      </c>
      <c r="C23" s="70"/>
      <c r="D23" s="70"/>
      <c r="F23" s="70"/>
      <c r="G23" s="71"/>
      <c r="H23" s="72"/>
      <c r="I23" s="73"/>
      <c r="J23" s="72"/>
      <c r="K23" s="72"/>
      <c r="L23" s="72"/>
      <c r="M23" s="72"/>
      <c r="N23" s="73"/>
      <c r="O23" s="72"/>
      <c r="P23" s="72"/>
      <c r="Q23" s="72"/>
      <c r="R23" s="72"/>
      <c r="S23" s="72"/>
      <c r="T23" s="73"/>
      <c r="U23" s="72"/>
      <c r="V23" s="72"/>
      <c r="W23" s="73"/>
      <c r="X23" s="72"/>
    </row>
    <row r="24" spans="2:24" s="76" customFormat="1" ht="8.25" customHeight="1" thickBot="1">
      <c r="B24" s="74"/>
      <c r="C24" s="75"/>
      <c r="H24" s="77"/>
      <c r="I24" s="69"/>
      <c r="J24" s="77"/>
      <c r="K24" s="77"/>
      <c r="L24" s="77"/>
      <c r="M24" s="77"/>
      <c r="N24" s="69"/>
      <c r="O24" s="77"/>
      <c r="P24" s="77"/>
      <c r="Q24" s="77"/>
      <c r="R24" s="77"/>
      <c r="S24" s="77"/>
      <c r="T24" s="69"/>
      <c r="U24" s="77"/>
      <c r="V24" s="77"/>
      <c r="W24" s="69"/>
      <c r="X24" s="77"/>
    </row>
    <row r="25" spans="2:24" ht="21.75" thickBot="1">
      <c r="B25" s="52" t="s">
        <v>621</v>
      </c>
      <c r="C25" s="70"/>
      <c r="D25" s="70"/>
      <c r="F25" s="70"/>
      <c r="G25" s="71"/>
      <c r="H25" s="72"/>
      <c r="I25" s="73"/>
      <c r="J25" s="72"/>
      <c r="K25" s="72"/>
      <c r="L25" s="72"/>
      <c r="M25" s="72"/>
      <c r="N25" s="73"/>
      <c r="O25" s="72"/>
      <c r="P25" s="72"/>
      <c r="Q25" s="72"/>
      <c r="R25" s="72"/>
      <c r="S25" s="72"/>
      <c r="T25" s="73"/>
      <c r="U25" s="72"/>
      <c r="V25" s="72"/>
      <c r="W25" s="73"/>
      <c r="X25" s="72"/>
    </row>
    <row r="26" spans="2:24" s="76" customFormat="1" ht="8.25" customHeight="1" thickBot="1">
      <c r="B26" s="74"/>
      <c r="C26" s="75"/>
      <c r="H26" s="77"/>
      <c r="I26" s="69"/>
      <c r="J26" s="77"/>
      <c r="K26" s="77"/>
      <c r="L26" s="77"/>
      <c r="M26" s="77"/>
      <c r="N26" s="69"/>
      <c r="O26" s="77"/>
      <c r="P26" s="77"/>
      <c r="Q26" s="77"/>
      <c r="R26" s="77"/>
      <c r="S26" s="77"/>
      <c r="T26" s="69"/>
      <c r="U26" s="77"/>
      <c r="V26" s="77"/>
      <c r="W26" s="69"/>
      <c r="X26" s="77"/>
    </row>
    <row r="27" spans="2:24" ht="21.75" thickBot="1">
      <c r="B27" s="52" t="s">
        <v>622</v>
      </c>
      <c r="C27" s="70"/>
      <c r="D27" s="70"/>
      <c r="F27" s="70"/>
      <c r="G27" s="71"/>
      <c r="H27" s="72"/>
      <c r="I27" s="73"/>
      <c r="J27" s="72"/>
      <c r="K27" s="72"/>
      <c r="L27" s="72"/>
      <c r="M27" s="72"/>
      <c r="N27" s="73"/>
      <c r="O27" s="72"/>
      <c r="P27" s="72"/>
      <c r="Q27" s="72"/>
      <c r="R27" s="72"/>
      <c r="S27" s="72"/>
      <c r="T27" s="73"/>
      <c r="U27" s="72"/>
      <c r="V27" s="72"/>
      <c r="W27" s="73"/>
      <c r="X27" s="72"/>
    </row>
    <row r="28" spans="2:24" s="76" customFormat="1" ht="8.25" customHeight="1" thickBot="1">
      <c r="B28" s="74"/>
      <c r="C28" s="75"/>
      <c r="H28" s="77"/>
      <c r="I28" s="69"/>
      <c r="J28" s="77"/>
      <c r="K28" s="77"/>
      <c r="L28" s="77"/>
      <c r="M28" s="77"/>
      <c r="N28" s="69"/>
      <c r="O28" s="77"/>
      <c r="P28" s="77"/>
      <c r="Q28" s="77"/>
      <c r="R28" s="77"/>
      <c r="S28" s="77"/>
      <c r="T28" s="69"/>
      <c r="U28" s="77"/>
      <c r="V28" s="77"/>
      <c r="W28" s="69"/>
      <c r="X28" s="77"/>
    </row>
    <row r="29" spans="2:24" ht="21.75" thickBot="1">
      <c r="B29" s="52" t="s">
        <v>623</v>
      </c>
      <c r="C29" s="70"/>
      <c r="D29" s="70"/>
      <c r="F29" s="70"/>
      <c r="G29" s="71"/>
      <c r="H29" s="72"/>
      <c r="I29" s="73"/>
      <c r="J29" s="72"/>
      <c r="K29" s="72"/>
      <c r="L29" s="72"/>
      <c r="M29" s="72"/>
      <c r="N29" s="73"/>
      <c r="O29" s="72"/>
      <c r="P29" s="72"/>
      <c r="Q29" s="72"/>
      <c r="R29" s="72"/>
      <c r="S29" s="72"/>
      <c r="T29" s="73"/>
      <c r="U29" s="72"/>
      <c r="V29" s="72"/>
      <c r="W29" s="73"/>
      <c r="X29" s="72"/>
    </row>
    <row r="30" spans="2:24" s="76" customFormat="1" ht="8.25" customHeight="1" thickBot="1">
      <c r="B30" s="74"/>
      <c r="C30" s="75"/>
      <c r="H30" s="77"/>
      <c r="I30" s="69"/>
      <c r="J30" s="77"/>
      <c r="K30" s="77"/>
      <c r="L30" s="77"/>
      <c r="M30" s="77"/>
      <c r="N30" s="69"/>
      <c r="O30" s="77"/>
      <c r="P30" s="77"/>
      <c r="Q30" s="77"/>
      <c r="R30" s="77"/>
      <c r="S30" s="77"/>
      <c r="T30" s="69"/>
      <c r="U30" s="77"/>
      <c r="V30" s="77"/>
      <c r="W30" s="69"/>
      <c r="X30" s="77"/>
    </row>
    <row r="31" spans="2:24" ht="21.75" thickBot="1">
      <c r="B31" s="52" t="s">
        <v>624</v>
      </c>
      <c r="C31" s="70"/>
      <c r="D31" s="70"/>
      <c r="F31" s="70"/>
      <c r="G31" s="71"/>
      <c r="H31" s="72"/>
      <c r="I31" s="73"/>
      <c r="J31" s="72"/>
      <c r="K31" s="72"/>
      <c r="L31" s="72"/>
      <c r="M31" s="72"/>
      <c r="N31" s="73"/>
      <c r="O31" s="72"/>
      <c r="P31" s="72"/>
      <c r="Q31" s="72"/>
      <c r="R31" s="72"/>
      <c r="S31" s="72"/>
      <c r="T31" s="73"/>
      <c r="U31" s="72"/>
      <c r="V31" s="72"/>
      <c r="W31" s="73"/>
      <c r="X31" s="72"/>
    </row>
    <row r="32" spans="3:16" s="76" customFormat="1" ht="21">
      <c r="C32" s="78"/>
      <c r="H32" s="79"/>
      <c r="J32" s="79"/>
      <c r="K32" s="79"/>
      <c r="L32" s="79"/>
      <c r="M32" s="79"/>
      <c r="O32" s="79"/>
      <c r="P32" s="79"/>
    </row>
    <row r="33" spans="2:16" ht="21">
      <c r="B33" s="51" t="s">
        <v>1034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3:24" s="48" customFormat="1" ht="21.75" thickBot="1">
      <c r="C34" s="61" t="s">
        <v>614</v>
      </c>
      <c r="D34" s="61" t="s">
        <v>615</v>
      </c>
      <c r="E34" s="61"/>
      <c r="F34" s="61" t="s">
        <v>616</v>
      </c>
      <c r="G34" s="69"/>
      <c r="H34" s="675" t="s">
        <v>617</v>
      </c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5"/>
      <c r="U34" s="675"/>
      <c r="V34" s="675"/>
      <c r="W34" s="675"/>
      <c r="X34" s="675"/>
    </row>
    <row r="35" spans="2:24" ht="21.75" thickBot="1">
      <c r="B35" s="52" t="s">
        <v>625</v>
      </c>
      <c r="C35" s="70"/>
      <c r="D35" s="70"/>
      <c r="F35" s="70"/>
      <c r="G35" s="71"/>
      <c r="H35" s="72"/>
      <c r="I35" s="73"/>
      <c r="J35" s="72"/>
      <c r="K35" s="72"/>
      <c r="L35" s="72"/>
      <c r="M35" s="72"/>
      <c r="N35" s="73"/>
      <c r="O35" s="72"/>
      <c r="P35" s="72"/>
      <c r="Q35" s="72"/>
      <c r="R35" s="72"/>
      <c r="S35" s="72"/>
      <c r="T35" s="73"/>
      <c r="U35" s="72"/>
      <c r="V35" s="72"/>
      <c r="W35" s="73"/>
      <c r="X35" s="72"/>
    </row>
    <row r="36" ht="21">
      <c r="G36" s="76"/>
    </row>
    <row r="37" spans="3:24" s="48" customFormat="1" ht="21.75" hidden="1" thickBot="1">
      <c r="C37" s="61" t="s">
        <v>614</v>
      </c>
      <c r="D37" s="61" t="s">
        <v>615</v>
      </c>
      <c r="E37" s="61"/>
      <c r="F37" s="61" t="s">
        <v>616</v>
      </c>
      <c r="G37" s="69"/>
      <c r="H37" s="675" t="s">
        <v>617</v>
      </c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5"/>
    </row>
    <row r="38" spans="2:24" ht="21.75" hidden="1" thickBot="1">
      <c r="B38" s="52" t="s">
        <v>626</v>
      </c>
      <c r="C38" s="70"/>
      <c r="D38" s="70"/>
      <c r="F38" s="70"/>
      <c r="G38" s="71"/>
      <c r="H38" s="72"/>
      <c r="I38" s="73"/>
      <c r="J38" s="72"/>
      <c r="K38" s="72"/>
      <c r="L38" s="72"/>
      <c r="M38" s="72"/>
      <c r="N38" s="73"/>
      <c r="O38" s="72"/>
      <c r="P38" s="72"/>
      <c r="Q38" s="72"/>
      <c r="R38" s="72"/>
      <c r="S38" s="72"/>
      <c r="T38" s="73"/>
      <c r="U38" s="72"/>
      <c r="V38" s="72"/>
      <c r="W38" s="73"/>
      <c r="X38" s="72"/>
    </row>
    <row r="39" ht="21">
      <c r="G39" s="76"/>
    </row>
    <row r="40" ht="21" hidden="1">
      <c r="B40" s="51" t="s">
        <v>614</v>
      </c>
    </row>
    <row r="41" ht="21" hidden="1">
      <c r="B41" s="47" t="s">
        <v>627</v>
      </c>
    </row>
    <row r="42" ht="21" hidden="1">
      <c r="B42" s="47" t="s">
        <v>628</v>
      </c>
    </row>
    <row r="43" ht="21" hidden="1">
      <c r="B43" s="47" t="s">
        <v>629</v>
      </c>
    </row>
    <row r="44" ht="21" hidden="1">
      <c r="B44" s="47" t="s">
        <v>630</v>
      </c>
    </row>
    <row r="45" ht="21" hidden="1">
      <c r="B45" s="47" t="s">
        <v>631</v>
      </c>
    </row>
    <row r="46" ht="21" hidden="1">
      <c r="B46" s="47" t="s">
        <v>632</v>
      </c>
    </row>
    <row r="47" ht="21" hidden="1">
      <c r="B47" s="47" t="s">
        <v>633</v>
      </c>
    </row>
    <row r="48" ht="21" hidden="1">
      <c r="B48" s="47" t="s">
        <v>634</v>
      </c>
    </row>
    <row r="49" ht="21" hidden="1">
      <c r="B49" s="47" t="s">
        <v>635</v>
      </c>
    </row>
    <row r="50" ht="21" hidden="1">
      <c r="B50" s="47" t="s">
        <v>319</v>
      </c>
    </row>
    <row r="58" ht="21">
      <c r="B58" s="63"/>
    </row>
    <row r="59" ht="21">
      <c r="B59" s="48"/>
    </row>
    <row r="60" ht="21">
      <c r="B60" s="48"/>
    </row>
    <row r="61" ht="21">
      <c r="B61" s="48"/>
    </row>
    <row r="62" ht="21">
      <c r="B62" s="48"/>
    </row>
    <row r="63" ht="21">
      <c r="B63" s="48"/>
    </row>
    <row r="64" ht="21">
      <c r="B64" s="48"/>
    </row>
    <row r="65" ht="21">
      <c r="B65" s="48"/>
    </row>
    <row r="66" ht="21">
      <c r="B66" s="48"/>
    </row>
    <row r="67" ht="21">
      <c r="B67" s="48"/>
    </row>
    <row r="68" ht="21">
      <c r="B68" s="48"/>
    </row>
    <row r="69" ht="21">
      <c r="B69" s="48"/>
    </row>
  </sheetData>
  <sheetProtection password="D502" sheet="1" objects="1" scenarios="1"/>
  <protectedRanges>
    <protectedRange sqref="C13:C15 C19:X31 C35:X35 C38:X38 C5:D7 C9:D10" name="ช่วง1"/>
  </protectedRanges>
  <mergeCells count="5">
    <mergeCell ref="C12:F12"/>
    <mergeCell ref="H37:X37"/>
    <mergeCell ref="H12:K12"/>
    <mergeCell ref="H18:X18"/>
    <mergeCell ref="H34:X34"/>
  </mergeCells>
  <conditionalFormatting sqref="C13:C15 C19:D19 C21:D21 C23:D23 C25:D25 C27:D27 C29:D29 C31:D31 F19 F21 F23 F25 F27 F29 F31 H19 J19:M19 O19:S19 U19:V19 X19 H21 J21:M21 O21:S21 U21:V21 X21 H23 J23:M23 O23:S23 U23:V23 X23 H25 J25:M25 O25:S25 U25:V25 X25 H27 J27:M27 O27:S27 U27:V27 X27 H29 J29:M29 O29:S29 U29:V29 X29 H31 J31:M31 O31:S31 U31:V31 X31 C35:D35 F35 H35 J35:M35 O35:S35 U35:V35 X35 C38:D38 F38 H38 J38:M38 O38:S38 U38:V38 X38 C5:D7 C9:D10">
    <cfRule type="expression" priority="1" dxfId="15" stopIfTrue="1">
      <formula>C5&lt;&gt;""</formula>
    </cfRule>
  </conditionalFormatting>
  <dataValidations count="3">
    <dataValidation type="date" operator="notEqual" allowBlank="1" showInputMessage="1" showErrorMessage="1" sqref="C13:C15">
      <formula1>38718</formula1>
    </dataValidation>
    <dataValidation type="decimal" allowBlank="1" showInputMessage="1" showErrorMessage="1" errorTitle="ป้อนข้อมูลผิดพลาด" error="ค่าที่ป้อนต้องเป็นค่าร้อยละอยู่ระหว่าง 0 ถึง 100" sqref="C9:D10">
      <formula1>0</formula1>
      <formula2>100</formula2>
    </dataValidation>
    <dataValidation type="list" allowBlank="1" showInputMessage="1" showErrorMessage="1" errorTitle="ป้อนข้อมูลผิดพลาด" error="กรุณาป้อนคำนำหน้าชื่อตาม List ที่ให้ไว้" sqref="C19 C38 C21 C23 C25 C27 C29 C31 C35">
      <formula1>$B$41:$B$50</formula1>
    </dataValidation>
  </dataValidations>
  <printOptions/>
  <pageMargins left="0.24" right="0.25" top="1.09" bottom="0.17" header="0.5" footer="0.35"/>
  <pageSetup horizontalDpi="600" verticalDpi="600" orientation="portrait" paperSize="9" scale="72" r:id="rId1"/>
  <headerFooter alignWithMargins="0">
    <oddFooter>&amp;L&amp;7&amp;Z&amp;F&amp;R&amp;"BrowalliaUPC,ธรรมดา"&amp;14รับรองข้อมูลถูกต้อง    
.................................................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H224"/>
  <sheetViews>
    <sheetView showGridLines="0" zoomScale="85" zoomScaleNormal="85" zoomScaleSheetLayoutView="55" zoomScalePageLayoutView="0" workbookViewId="0" topLeftCell="A1">
      <selection activeCell="B17" sqref="B17"/>
    </sheetView>
  </sheetViews>
  <sheetFormatPr defaultColWidth="9.00390625" defaultRowHeight="14.25"/>
  <cols>
    <col min="1" max="1" width="11.375" style="1" customWidth="1"/>
    <col min="2" max="2" width="47.375" style="1" customWidth="1"/>
    <col min="3" max="3" width="11.00390625" style="1" customWidth="1"/>
    <col min="4" max="4" width="12.50390625" style="2" customWidth="1"/>
    <col min="5" max="5" width="13.375" style="424" customWidth="1"/>
    <col min="6" max="6" width="16.25390625" style="44" customWidth="1"/>
    <col min="7" max="7" width="1.12109375" style="39" customWidth="1"/>
    <col min="8" max="8" width="9.00390625" style="39" customWidth="1"/>
    <col min="9" max="16384" width="9.00390625" style="1" customWidth="1"/>
  </cols>
  <sheetData>
    <row r="1" spans="1:8" ht="34.5" customHeight="1">
      <c r="A1" s="27" t="s">
        <v>372</v>
      </c>
      <c r="C1" s="80"/>
      <c r="D1" s="81"/>
      <c r="E1" s="422"/>
      <c r="F1" s="83"/>
      <c r="H1" s="92"/>
    </row>
    <row r="2" spans="1:8" ht="26.25">
      <c r="A2" s="27" t="s">
        <v>763</v>
      </c>
      <c r="C2" s="80"/>
      <c r="D2" s="81"/>
      <c r="E2" s="422"/>
      <c r="F2" s="83"/>
      <c r="H2" s="92"/>
    </row>
    <row r="3" spans="1:8" ht="21">
      <c r="A3" s="84" t="s">
        <v>70</v>
      </c>
      <c r="C3" s="80"/>
      <c r="D3" s="81"/>
      <c r="E3" s="422"/>
      <c r="F3" s="83"/>
      <c r="H3" s="92"/>
    </row>
    <row r="4" spans="3:8" ht="10.5" customHeight="1" thickBot="1">
      <c r="C4" s="80"/>
      <c r="D4" s="81"/>
      <c r="E4" s="422"/>
      <c r="F4" s="83"/>
      <c r="H4" s="92"/>
    </row>
    <row r="5" spans="1:8" s="85" customFormat="1" ht="26.25" customHeight="1" thickBot="1">
      <c r="A5" s="86" t="s">
        <v>638</v>
      </c>
      <c r="B5" s="87">
        <f>IF(('EntryData-ข้อมูล1'!C10&lt;&gt;""),'EntryData-ข้อมูล1'!C10,"")</f>
      </c>
      <c r="C5" s="88" t="s">
        <v>642</v>
      </c>
      <c r="E5" s="423"/>
      <c r="F5" s="82"/>
      <c r="H5" s="93"/>
    </row>
    <row r="6" spans="1:8" s="85" customFormat="1" ht="26.25" customHeight="1" thickBot="1">
      <c r="A6" s="86" t="s">
        <v>639</v>
      </c>
      <c r="B6" s="87">
        <f>IF(('EntryData-ข้อมูล1'!C11&lt;&gt;""),'EntryData-ข้อมูล1'!C11,"")</f>
      </c>
      <c r="D6" s="81"/>
      <c r="E6" s="423"/>
      <c r="F6" s="82"/>
      <c r="H6" s="93"/>
    </row>
    <row r="7" ht="10.5" customHeight="1" thickBot="1"/>
    <row r="8" spans="1:7" ht="42.75" thickBot="1">
      <c r="A8" s="183" t="s">
        <v>798</v>
      </c>
      <c r="B8" s="20" t="s">
        <v>799</v>
      </c>
      <c r="C8" s="100" t="s">
        <v>800</v>
      </c>
      <c r="D8" s="172" t="s">
        <v>768</v>
      </c>
      <c r="E8" s="425" t="s">
        <v>813</v>
      </c>
      <c r="F8" s="160" t="s">
        <v>697</v>
      </c>
      <c r="G8" s="40"/>
    </row>
    <row r="9" spans="1:8" s="469" customFormat="1" ht="22.5">
      <c r="A9" s="502" t="s">
        <v>884</v>
      </c>
      <c r="B9" s="509" t="s">
        <v>640</v>
      </c>
      <c r="C9" s="468">
        <v>5</v>
      </c>
      <c r="D9" s="499"/>
      <c r="E9" s="441" t="str">
        <f>IF(OR(ISERROR(SUM(E10,E14)="True"),(COUNT(E10,E14)=0)),"Auto-calculate",SUM(E10,E14))</f>
        <v>Auto-calculate</v>
      </c>
      <c r="F9" s="442" t="str">
        <f>IF(OR((ISERROR(E9)="True"),(E9="Auto-calculate")),"Auto-calculate",IF((E9&gt;=4.5),"ดีมาก",IF((E9&gt;=3.75),"ดี",IF((E9&gt;=3),"พอใช้",IF((E9&gt;=2.5),"ต้องปรับปรุง",IF((E9&gt;=0),"ต้องปรับปรุงเร่งด่วน"))))))</f>
        <v>Auto-calculate</v>
      </c>
      <c r="G9" s="141"/>
      <c r="H9" s="141"/>
    </row>
    <row r="10" spans="1:8" s="94" customFormat="1" ht="20.25">
      <c r="A10" s="503">
        <v>1.1</v>
      </c>
      <c r="B10" s="448" t="s">
        <v>641</v>
      </c>
      <c r="C10" s="433">
        <v>2.5</v>
      </c>
      <c r="D10" s="500" t="str">
        <f>IF(ISERROR(AVERAGE(D11:D13)),"Auto-calculate",ROUND(AVERAGE(D11:D13),2))</f>
        <v>Auto-calculate</v>
      </c>
      <c r="E10" s="450" t="str">
        <f>IF(OR((ISERROR(D10)="True"),(D10="Auto-calculate")),"Auto-calculate",IF((D10&gt;=90),2.5,IF((D10&gt;=75),2,IF((D10&gt;=60),1.5,IF((D10&gt;=50),1,IF((D10&gt;=0),0.5))))))</f>
        <v>Auto-calculate</v>
      </c>
      <c r="F10" s="667" t="str">
        <f>IF(OR((ISERROR(E10)="True"),(E10="Auto-calculate")),"Auto-calculate",IF((E10=2.5),"ดีมาก",IF((E10=2),"ดี",IF((E10=1.5),"พอใช้",IF((E10=1),"ต้องปรับปรุง",IF((E10=0.5),"ต้องปรับปรุงเร่งด่วน"))))))</f>
        <v>Auto-calculate</v>
      </c>
      <c r="G10" s="41"/>
      <c r="H10" s="41"/>
    </row>
    <row r="11" spans="1:8" s="32" customFormat="1" ht="20.25">
      <c r="A11" s="504"/>
      <c r="B11" s="510" t="s">
        <v>982</v>
      </c>
      <c r="C11" s="31"/>
      <c r="D11" s="519"/>
      <c r="E11" s="435"/>
      <c r="F11" s="436"/>
      <c r="G11" s="42"/>
      <c r="H11" s="42"/>
    </row>
    <row r="12" spans="1:8" s="32" customFormat="1" ht="20.25">
      <c r="A12" s="504"/>
      <c r="B12" s="511" t="s">
        <v>983</v>
      </c>
      <c r="C12" s="103"/>
      <c r="D12" s="519"/>
      <c r="E12" s="437"/>
      <c r="F12" s="438"/>
      <c r="G12" s="42"/>
      <c r="H12" s="42"/>
    </row>
    <row r="13" spans="1:8" s="32" customFormat="1" ht="21" thickBot="1">
      <c r="A13" s="504"/>
      <c r="B13" s="511" t="s">
        <v>984</v>
      </c>
      <c r="C13" s="103"/>
      <c r="D13" s="519"/>
      <c r="E13" s="437"/>
      <c r="F13" s="438"/>
      <c r="G13" s="42"/>
      <c r="H13" s="42"/>
    </row>
    <row r="14" spans="1:8" s="94" customFormat="1" ht="20.25">
      <c r="A14" s="505">
        <v>1.2</v>
      </c>
      <c r="B14" s="451" t="s">
        <v>439</v>
      </c>
      <c r="C14" s="452">
        <v>2.5</v>
      </c>
      <c r="D14" s="501" t="str">
        <f>IF(ISERROR(AVERAGE(D15:D16)),"Auto-calculate",ROUND(AVERAGE(D15:D16),2))</f>
        <v>Auto-calculate</v>
      </c>
      <c r="E14" s="454" t="str">
        <f>IF(OR((ISERROR(D14)="True"),(D14="Auto-calculate")),"Auto-calculate",IF((D14&gt;=90),2.5,IF((D14&gt;=75),2,IF((D14&gt;=60),1.5,IF((D14&gt;=50),1,IF((D14&gt;=0),0.5))))))</f>
        <v>Auto-calculate</v>
      </c>
      <c r="F14" s="455" t="str">
        <f>IF(OR((ISERROR(E14)="True"),(E14="Auto-calculate")),"Auto-calculate",IF((E14=2.5),"ดีมาก",IF((E14=2),"ดี",IF((E14=1.5),"พอใช้",IF((E14=1),"ต้องปรับปรุง",IF((E14=0.5),"ต้องปรับปรุงเร่งด่วน"))))))</f>
        <v>Auto-calculate</v>
      </c>
      <c r="G14" s="41"/>
      <c r="H14" s="41"/>
    </row>
    <row r="15" spans="1:8" s="32" customFormat="1" ht="20.25">
      <c r="A15" s="504"/>
      <c r="B15" s="510" t="s">
        <v>985</v>
      </c>
      <c r="C15" s="31"/>
      <c r="D15" s="519"/>
      <c r="E15" s="435"/>
      <c r="F15" s="436"/>
      <c r="G15" s="42"/>
      <c r="H15" s="42"/>
    </row>
    <row r="16" spans="1:8" s="32" customFormat="1" ht="41.25" thickBot="1">
      <c r="A16" s="504"/>
      <c r="B16" s="511" t="s">
        <v>986</v>
      </c>
      <c r="C16" s="34"/>
      <c r="D16" s="519"/>
      <c r="E16" s="439"/>
      <c r="F16" s="440"/>
      <c r="G16" s="42"/>
      <c r="H16" s="42"/>
    </row>
    <row r="17" spans="1:8" s="469" customFormat="1" ht="22.5">
      <c r="A17" s="502" t="s">
        <v>885</v>
      </c>
      <c r="B17" s="509" t="s">
        <v>440</v>
      </c>
      <c r="C17" s="468">
        <v>5</v>
      </c>
      <c r="D17" s="499"/>
      <c r="E17" s="441" t="str">
        <f>IF(OR(ISERROR(SUM(E18,E25)="True"),(COUNT(E18,E25)=0)),"Auto-calculate",SUM(E18,E25))</f>
        <v>Auto-calculate</v>
      </c>
      <c r="F17" s="442" t="str">
        <f>IF(OR((ISERROR(E17)="True"),(E17="Auto-calculate")),"Auto-calculate",IF((E17&gt;=4.5),"ดีมาก",IF((E17&gt;=3.75),"ดี",IF((E17&gt;=3),"พอใช้",IF((E17&gt;=2.5),"ต้องปรับปรุง",IF((E17&gt;=0),"ต้องปรับปรุงเร่งด่วน"))))))</f>
        <v>Auto-calculate</v>
      </c>
      <c r="G17" s="141"/>
      <c r="H17" s="141"/>
    </row>
    <row r="18" spans="1:8" s="94" customFormat="1" ht="20.25">
      <c r="A18" s="503">
        <v>2.1</v>
      </c>
      <c r="B18" s="448" t="s">
        <v>441</v>
      </c>
      <c r="C18" s="433">
        <v>2.5</v>
      </c>
      <c r="D18" s="500" t="str">
        <f>IF(ISERROR(AVERAGE(D19:D24)),"Auto-calculate",ROUND(AVERAGE(D19:D24),2))</f>
        <v>Auto-calculate</v>
      </c>
      <c r="E18" s="450" t="str">
        <f>IF(OR((ISERROR(D18)="True"),(D18="Auto-calculate")),"Auto-calculate",IF((D18&gt;=90),2.5,IF((D18&gt;=75),2,IF((D18&gt;=60),1.5,IF((D18&gt;=50),1,IF((D18&gt;=0),0.5))))))</f>
        <v>Auto-calculate</v>
      </c>
      <c r="F18" s="667" t="str">
        <f>IF(OR((ISERROR(E18)="True"),(E18="Auto-calculate")),"Auto-calculate",IF((E18=2.5),"ดีมาก",IF((E18=2),"ดี",IF((E18=1.5),"พอใช้",IF((E18=1),"ต้องปรับปรุง",IF((E18=0.5),"ต้องปรับปรุงเร่งด่วน"))))))</f>
        <v>Auto-calculate</v>
      </c>
      <c r="G18" s="41"/>
      <c r="H18" s="41"/>
    </row>
    <row r="19" spans="1:8" s="32" customFormat="1" ht="20.25">
      <c r="A19" s="504"/>
      <c r="B19" s="511" t="s">
        <v>987</v>
      </c>
      <c r="C19" s="103"/>
      <c r="D19" s="519"/>
      <c r="E19" s="437"/>
      <c r="F19" s="438"/>
      <c r="G19" s="42"/>
      <c r="H19" s="42"/>
    </row>
    <row r="20" spans="1:8" s="32" customFormat="1" ht="20.25">
      <c r="A20" s="504"/>
      <c r="B20" s="511" t="s">
        <v>988</v>
      </c>
      <c r="C20" s="103"/>
      <c r="D20" s="519"/>
      <c r="E20" s="437"/>
      <c r="F20" s="438"/>
      <c r="G20" s="42"/>
      <c r="H20" s="42"/>
    </row>
    <row r="21" spans="1:8" s="32" customFormat="1" ht="20.25">
      <c r="A21" s="504"/>
      <c r="B21" s="511" t="s">
        <v>989</v>
      </c>
      <c r="C21" s="103"/>
      <c r="D21" s="519"/>
      <c r="E21" s="437"/>
      <c r="F21" s="438"/>
      <c r="G21" s="42"/>
      <c r="H21" s="42"/>
    </row>
    <row r="22" spans="1:8" s="32" customFormat="1" ht="20.25">
      <c r="A22" s="504"/>
      <c r="B22" s="511" t="s">
        <v>990</v>
      </c>
      <c r="C22" s="103"/>
      <c r="D22" s="519"/>
      <c r="E22" s="437"/>
      <c r="F22" s="438"/>
      <c r="G22" s="42"/>
      <c r="H22" s="42"/>
    </row>
    <row r="23" spans="1:8" s="32" customFormat="1" ht="20.25">
      <c r="A23" s="504"/>
      <c r="B23" s="511" t="s">
        <v>991</v>
      </c>
      <c r="C23" s="103"/>
      <c r="D23" s="519"/>
      <c r="E23" s="437"/>
      <c r="F23" s="438"/>
      <c r="G23" s="42"/>
      <c r="H23" s="42"/>
    </row>
    <row r="24" spans="1:8" s="32" customFormat="1" ht="21" thickBot="1">
      <c r="A24" s="504"/>
      <c r="B24" s="511" t="s">
        <v>992</v>
      </c>
      <c r="C24" s="103"/>
      <c r="D24" s="519"/>
      <c r="E24" s="437"/>
      <c r="F24" s="438"/>
      <c r="G24" s="42"/>
      <c r="H24" s="42"/>
    </row>
    <row r="25" spans="1:8" s="94" customFormat="1" ht="20.25">
      <c r="A25" s="505">
        <v>2.2</v>
      </c>
      <c r="B25" s="451" t="s">
        <v>442</v>
      </c>
      <c r="C25" s="452">
        <v>2.5</v>
      </c>
      <c r="D25" s="501" t="str">
        <f>IF(ISERROR(AVERAGE(D26:D27)),"Auto-calculate",ROUND(AVERAGE(D26:D27),2))</f>
        <v>Auto-calculate</v>
      </c>
      <c r="E25" s="454" t="str">
        <f>IF(OR((ISERROR(D25)="True"),(D25="Auto-calculate")),"Auto-calculate",IF((D25&gt;=90),2.5,IF((D25&gt;=75),2,IF((D25&gt;=60),1.5,IF((D25&gt;=50),1,IF((D25&gt;=0),0.5))))))</f>
        <v>Auto-calculate</v>
      </c>
      <c r="F25" s="455" t="str">
        <f>IF(OR((ISERROR(E25)="True"),(E25="Auto-calculate")),"Auto-calculate",IF((E25=2.5),"ดีมาก",IF((E25=2),"ดี",IF((E25=1.5),"พอใช้",IF((E25=1),"ต้องปรับปรุง",IF((E25=0.5),"ต้องปรับปรุงเร่งด่วน"))))))</f>
        <v>Auto-calculate</v>
      </c>
      <c r="G25" s="41"/>
      <c r="H25" s="41"/>
    </row>
    <row r="26" spans="1:8" s="32" customFormat="1" ht="40.5">
      <c r="A26" s="504"/>
      <c r="B26" s="510" t="s">
        <v>993</v>
      </c>
      <c r="C26" s="31"/>
      <c r="D26" s="519"/>
      <c r="E26" s="435"/>
      <c r="F26" s="436"/>
      <c r="G26" s="42"/>
      <c r="H26" s="42"/>
    </row>
    <row r="27" spans="1:8" s="32" customFormat="1" ht="21" thickBot="1">
      <c r="A27" s="504"/>
      <c r="B27" s="511" t="s">
        <v>994</v>
      </c>
      <c r="C27" s="103"/>
      <c r="D27" s="519"/>
      <c r="E27" s="437"/>
      <c r="F27" s="438"/>
      <c r="G27" s="42"/>
      <c r="H27" s="42"/>
    </row>
    <row r="28" spans="1:8" s="469" customFormat="1" ht="22.5">
      <c r="A28" s="502" t="s">
        <v>886</v>
      </c>
      <c r="B28" s="509" t="s">
        <v>443</v>
      </c>
      <c r="C28" s="468">
        <v>5</v>
      </c>
      <c r="D28" s="499"/>
      <c r="E28" s="441" t="str">
        <f>IF(OR(ISERROR(SUM(E29,E35)="True"),(COUNT(E29,E35)=0)),"Auto-calculate",SUM(E29,E35))</f>
        <v>Auto-calculate</v>
      </c>
      <c r="F28" s="442" t="str">
        <f>IF(OR((ISERROR(E28)="True"),(E28="Auto-calculate")),"Auto-calculate",IF((E28&gt;=4.5),"ดีมาก",IF((E28&gt;=3.75),"ดี",IF((E28&gt;=3),"พอใช้",IF((E28&gt;=2.5),"ต้องปรับปรุง",IF((E28&gt;=0),"ต้องปรับปรุงเร่งด่วน"))))))</f>
        <v>Auto-calculate</v>
      </c>
      <c r="G28" s="141"/>
      <c r="H28" s="141"/>
    </row>
    <row r="29" spans="1:8" s="94" customFormat="1" ht="20.25">
      <c r="A29" s="503">
        <v>3.1</v>
      </c>
      <c r="B29" s="448" t="s">
        <v>444</v>
      </c>
      <c r="C29" s="433">
        <v>2.5</v>
      </c>
      <c r="D29" s="500" t="str">
        <f>IF(ISERROR(AVERAGE(D30:D34)),"Auto-calculate",ROUND(AVERAGE(D30:D34),2))</f>
        <v>Auto-calculate</v>
      </c>
      <c r="E29" s="450" t="str">
        <f>IF(OR((ISERROR(D29)="True"),(D29="Auto-calculate")),"Auto-calculate",IF((D29&gt;=90),2.5,IF((D29&gt;=75),2,IF((D29&gt;=60),1.5,IF((D29&gt;=50),1,IF((D29&gt;=0),0.5))))))</f>
        <v>Auto-calculate</v>
      </c>
      <c r="F29" s="667" t="str">
        <f>IF(OR((ISERROR(E29)="True"),(E29="Auto-calculate")),"Auto-calculate",IF((E29=2.5),"ดีมาก",IF((E29=2),"ดี",IF((E29=1.5),"พอใช้",IF((E29=1),"ต้องปรับปรุง",IF((E29=0.5),"ต้องปรับปรุงเร่งด่วน"))))))</f>
        <v>Auto-calculate</v>
      </c>
      <c r="G29" s="41"/>
      <c r="H29" s="41"/>
    </row>
    <row r="30" spans="1:8" s="32" customFormat="1" ht="20.25">
      <c r="A30" s="504"/>
      <c r="B30" s="510" t="s">
        <v>995</v>
      </c>
      <c r="C30" s="31"/>
      <c r="D30" s="519"/>
      <c r="E30" s="435"/>
      <c r="F30" s="436"/>
      <c r="G30" s="42"/>
      <c r="H30" s="42"/>
    </row>
    <row r="31" spans="1:8" s="32" customFormat="1" ht="20.25">
      <c r="A31" s="504"/>
      <c r="B31" s="510" t="s">
        <v>996</v>
      </c>
      <c r="C31" s="31"/>
      <c r="D31" s="519"/>
      <c r="E31" s="435"/>
      <c r="F31" s="436"/>
      <c r="G31" s="42"/>
      <c r="H31" s="42"/>
    </row>
    <row r="32" spans="1:8" s="32" customFormat="1" ht="20.25">
      <c r="A32" s="504"/>
      <c r="B32" s="510" t="s">
        <v>997</v>
      </c>
      <c r="C32" s="31"/>
      <c r="D32" s="519"/>
      <c r="E32" s="435"/>
      <c r="F32" s="436"/>
      <c r="G32" s="42"/>
      <c r="H32" s="42"/>
    </row>
    <row r="33" spans="1:8" s="32" customFormat="1" ht="20.25">
      <c r="A33" s="504"/>
      <c r="B33" s="510" t="s">
        <v>998</v>
      </c>
      <c r="C33" s="31"/>
      <c r="D33" s="519"/>
      <c r="E33" s="435"/>
      <c r="F33" s="436"/>
      <c r="G33" s="42"/>
      <c r="H33" s="42"/>
    </row>
    <row r="34" spans="1:8" s="32" customFormat="1" ht="21" thickBot="1">
      <c r="A34" s="504"/>
      <c r="B34" s="511" t="s">
        <v>999</v>
      </c>
      <c r="C34" s="103"/>
      <c r="D34" s="519"/>
      <c r="E34" s="437"/>
      <c r="F34" s="438"/>
      <c r="G34" s="42"/>
      <c r="H34" s="42"/>
    </row>
    <row r="35" spans="1:8" s="94" customFormat="1" ht="20.25">
      <c r="A35" s="505">
        <v>3.2</v>
      </c>
      <c r="B35" s="451" t="s">
        <v>445</v>
      </c>
      <c r="C35" s="452">
        <v>2.5</v>
      </c>
      <c r="D35" s="501" t="str">
        <f>IF(ISERROR(AVERAGE(D36:D39)),"Auto-calculate",ROUND(AVERAGE(D36:D39),2))</f>
        <v>Auto-calculate</v>
      </c>
      <c r="E35" s="454" t="str">
        <f>IF(OR((ISERROR(D35)="True"),(D35="Auto-calculate")),"Auto-calculate",IF((D35&gt;=90),2.5,IF((D35&gt;=75),2,IF((D35&gt;=60),1.5,IF((D35&gt;=50),1,IF((D35&gt;=0),0.5))))))</f>
        <v>Auto-calculate</v>
      </c>
      <c r="F35" s="455" t="str">
        <f>IF(OR((ISERROR(E35)="True"),(E35="Auto-calculate")),"Auto-calculate",IF((E35=2.5),"ดีมาก",IF((E35=2),"ดี",IF((E35=1.5),"พอใช้",IF((E35=1),"ต้องปรับปรุง",IF((E35=0.5),"ต้องปรับปรุงเร่งด่วน"))))))</f>
        <v>Auto-calculate</v>
      </c>
      <c r="G35" s="41"/>
      <c r="H35" s="41"/>
    </row>
    <row r="36" spans="1:8" s="32" customFormat="1" ht="20.25">
      <c r="A36" s="504"/>
      <c r="B36" s="510" t="s">
        <v>1000</v>
      </c>
      <c r="C36" s="31"/>
      <c r="D36" s="519"/>
      <c r="E36" s="435"/>
      <c r="F36" s="436"/>
      <c r="G36" s="42"/>
      <c r="H36" s="42"/>
    </row>
    <row r="37" spans="1:8" s="32" customFormat="1" ht="40.5">
      <c r="A37" s="504"/>
      <c r="B37" s="510" t="s">
        <v>1001</v>
      </c>
      <c r="C37" s="31"/>
      <c r="D37" s="519"/>
      <c r="E37" s="435"/>
      <c r="F37" s="436"/>
      <c r="G37" s="42"/>
      <c r="H37" s="42"/>
    </row>
    <row r="38" spans="1:8" s="32" customFormat="1" ht="40.5">
      <c r="A38" s="504"/>
      <c r="B38" s="510" t="s">
        <v>1002</v>
      </c>
      <c r="C38" s="31"/>
      <c r="D38" s="519"/>
      <c r="E38" s="435"/>
      <c r="F38" s="436"/>
      <c r="G38" s="42"/>
      <c r="H38" s="42"/>
    </row>
    <row r="39" spans="1:8" s="32" customFormat="1" ht="21" thickBot="1">
      <c r="A39" s="506"/>
      <c r="B39" s="512" t="s">
        <v>1003</v>
      </c>
      <c r="C39" s="34"/>
      <c r="D39" s="520"/>
      <c r="E39" s="439"/>
      <c r="F39" s="440"/>
      <c r="G39" s="42"/>
      <c r="H39" s="42"/>
    </row>
    <row r="40" spans="1:8" s="469" customFormat="1" ht="22.5">
      <c r="A40" s="502" t="s">
        <v>887</v>
      </c>
      <c r="B40" s="513" t="s">
        <v>446</v>
      </c>
      <c r="C40" s="468">
        <v>10</v>
      </c>
      <c r="D40" s="499"/>
      <c r="E40" s="441" t="str">
        <f>IF(OR(ISERROR(SUM(E41,E44,E49,E54)="True"),(COUNT(E41,E44,E49,E54)=0)),"Auto-calculate",SUM(E41,E44,E49,E54))</f>
        <v>Auto-calculate</v>
      </c>
      <c r="F40" s="442" t="str">
        <f>IF(OR((ISERROR(E40)="True"),(E40="Auto-calculate")),"Auto-calculate",IF((E40&gt;=9),"ดีมาก",IF((E40&gt;=7.5),"ดี",IF((E40&gt;=6),"พอใช้",IF((E40&gt;=5),"ต้องปรับปรุง",IF((E40&gt;=0),"ต้องปรับปรุงเร่งด่วน"))))))</f>
        <v>Auto-calculate</v>
      </c>
      <c r="G40" s="141"/>
      <c r="H40" s="141"/>
    </row>
    <row r="41" spans="1:8" s="94" customFormat="1" ht="20.25">
      <c r="A41" s="503">
        <v>4.1</v>
      </c>
      <c r="B41" s="448" t="s">
        <v>447</v>
      </c>
      <c r="C41" s="433">
        <v>2.5</v>
      </c>
      <c r="D41" s="500" t="str">
        <f>IF(ISERROR(AVERAGE(D42:D43)),"Auto-calculate",ROUND(AVERAGE(D42:D43),2))</f>
        <v>Auto-calculate</v>
      </c>
      <c r="E41" s="450" t="str">
        <f>IF(OR((ISERROR(D41)="True"),(D41="Auto-calculate")),"Auto-calculate",IF((D41&gt;=90),2.5,IF((D41&gt;=75),2,IF((D41&gt;=60),1.5,IF((D41&gt;=50),1,IF((D41&gt;=0),0.5))))))</f>
        <v>Auto-calculate</v>
      </c>
      <c r="F41" s="667" t="str">
        <f>IF(OR((ISERROR(E41)="True"),(E41="Auto-calculate")),"Auto-calculate",IF((E41=2.5),"ดีมาก",IF((E41=2),"ดี",IF((E41=1.5),"พอใช้",IF((E41=1),"ต้องปรับปรุง",IF((E41=0.5),"ต้องปรับปรุงเร่งด่วน"))))))</f>
        <v>Auto-calculate</v>
      </c>
      <c r="G41" s="41"/>
      <c r="H41" s="41"/>
    </row>
    <row r="42" spans="1:8" s="32" customFormat="1" ht="20.25">
      <c r="A42" s="504"/>
      <c r="B42" s="511" t="s">
        <v>1004</v>
      </c>
      <c r="C42" s="103"/>
      <c r="D42" s="519"/>
      <c r="E42" s="437"/>
      <c r="F42" s="438"/>
      <c r="G42" s="42"/>
      <c r="H42" s="42"/>
    </row>
    <row r="43" spans="1:8" s="32" customFormat="1" ht="21" thickBot="1">
      <c r="A43" s="504"/>
      <c r="B43" s="511" t="s">
        <v>1005</v>
      </c>
      <c r="C43" s="103"/>
      <c r="D43" s="519"/>
      <c r="E43" s="437"/>
      <c r="F43" s="438"/>
      <c r="G43" s="42"/>
      <c r="H43" s="42"/>
    </row>
    <row r="44" spans="1:8" s="94" customFormat="1" ht="20.25">
      <c r="A44" s="505">
        <v>4.2</v>
      </c>
      <c r="B44" s="451" t="s">
        <v>448</v>
      </c>
      <c r="C44" s="452">
        <v>2.5</v>
      </c>
      <c r="D44" s="501" t="str">
        <f>IF(ISERROR(AVERAGE(D45:D48)),"Auto-calculate",ROUND(AVERAGE(D45:D48),2))</f>
        <v>Auto-calculate</v>
      </c>
      <c r="E44" s="454" t="str">
        <f>IF(OR((ISERROR(D44)="True"),(D44="Auto-calculate")),"Auto-calculate",IF((D44&gt;=90),2.5,IF((D44&gt;=75),2,IF((D44&gt;=60),1.5,IF((D44&gt;=50),1,IF((D44&gt;=0),0.5))))))</f>
        <v>Auto-calculate</v>
      </c>
      <c r="F44" s="455" t="str">
        <f>IF(OR((ISERROR(E44)="True"),(E44="Auto-calculate")),"Auto-calculate",IF((E44=2.5),"ดีมาก",IF((E44=2),"ดี",IF((E44=1.5),"พอใช้",IF((E44=1),"ต้องปรับปรุง",IF((E44=0.5),"ต้องปรับปรุงเร่งด่วน"))))))</f>
        <v>Auto-calculate</v>
      </c>
      <c r="G44" s="41"/>
      <c r="H44" s="41"/>
    </row>
    <row r="45" spans="1:8" s="32" customFormat="1" ht="20.25">
      <c r="A45" s="504"/>
      <c r="B45" s="511" t="s">
        <v>1006</v>
      </c>
      <c r="C45" s="31"/>
      <c r="D45" s="519"/>
      <c r="E45" s="435"/>
      <c r="F45" s="436"/>
      <c r="G45" s="42"/>
      <c r="H45" s="42"/>
    </row>
    <row r="46" spans="1:8" s="32" customFormat="1" ht="20.25">
      <c r="A46" s="504"/>
      <c r="B46" s="511" t="s">
        <v>1007</v>
      </c>
      <c r="C46" s="31"/>
      <c r="D46" s="519"/>
      <c r="E46" s="435"/>
      <c r="F46" s="436"/>
      <c r="G46" s="42"/>
      <c r="H46" s="42"/>
    </row>
    <row r="47" spans="1:8" s="32" customFormat="1" ht="40.5">
      <c r="A47" s="504"/>
      <c r="B47" s="511" t="s">
        <v>1008</v>
      </c>
      <c r="C47" s="31"/>
      <c r="D47" s="519"/>
      <c r="E47" s="435"/>
      <c r="F47" s="436"/>
      <c r="G47" s="42"/>
      <c r="H47" s="42"/>
    </row>
    <row r="48" spans="1:8" s="32" customFormat="1" ht="21" thickBot="1">
      <c r="A48" s="504"/>
      <c r="B48" s="511" t="s">
        <v>1009</v>
      </c>
      <c r="C48" s="103"/>
      <c r="D48" s="519"/>
      <c r="E48" s="437"/>
      <c r="F48" s="438"/>
      <c r="G48" s="42"/>
      <c r="H48" s="42"/>
    </row>
    <row r="49" spans="1:8" s="94" customFormat="1" ht="20.25">
      <c r="A49" s="505">
        <v>4.3</v>
      </c>
      <c r="B49" s="451" t="s">
        <v>449</v>
      </c>
      <c r="C49" s="452">
        <v>2.5</v>
      </c>
      <c r="D49" s="501" t="str">
        <f>IF(ISERROR(AVERAGE(D50:D53)),"Auto-calculate",ROUND(AVERAGE(D50:D53),2))</f>
        <v>Auto-calculate</v>
      </c>
      <c r="E49" s="454" t="str">
        <f>IF(OR((ISERROR(D49)="True"),(D49="Auto-calculate")),"Auto-calculate",IF((D49&gt;=90),2.5,IF((D49&gt;=75),2,IF((D49&gt;=60),1.5,IF((D49&gt;=50),1,IF((D49&gt;=0),0.5))))))</f>
        <v>Auto-calculate</v>
      </c>
      <c r="F49" s="455" t="str">
        <f>IF(OR((ISERROR(E49)="True"),(E49="Auto-calculate")),"Auto-calculate",IF((E49=2.5),"ดีมาก",IF((E49=2),"ดี",IF((E49=1.5),"พอใช้",IF((E49=1),"ต้องปรับปรุง",IF((E49=0.5),"ต้องปรับปรุงเร่งด่วน"))))))</f>
        <v>Auto-calculate</v>
      </c>
      <c r="G49" s="41"/>
      <c r="H49" s="41"/>
    </row>
    <row r="50" spans="1:8" s="32" customFormat="1" ht="40.5">
      <c r="A50" s="504"/>
      <c r="B50" s="511" t="s">
        <v>1010</v>
      </c>
      <c r="C50" s="31"/>
      <c r="D50" s="519"/>
      <c r="E50" s="435"/>
      <c r="F50" s="436"/>
      <c r="G50" s="42"/>
      <c r="H50" s="42"/>
    </row>
    <row r="51" spans="1:8" s="32" customFormat="1" ht="36.75" customHeight="1">
      <c r="A51" s="504"/>
      <c r="B51" s="511" t="s">
        <v>1011</v>
      </c>
      <c r="C51" s="31"/>
      <c r="D51" s="519"/>
      <c r="E51" s="435"/>
      <c r="F51" s="436"/>
      <c r="G51" s="42"/>
      <c r="H51" s="42"/>
    </row>
    <row r="52" spans="1:8" s="32" customFormat="1" ht="40.5">
      <c r="A52" s="504"/>
      <c r="B52" s="511" t="s">
        <v>1012</v>
      </c>
      <c r="C52" s="31"/>
      <c r="D52" s="519"/>
      <c r="E52" s="435"/>
      <c r="F52" s="436"/>
      <c r="G52" s="42"/>
      <c r="H52" s="42"/>
    </row>
    <row r="53" spans="1:8" s="32" customFormat="1" ht="41.25" thickBot="1">
      <c r="A53" s="504"/>
      <c r="B53" s="625" t="s">
        <v>1013</v>
      </c>
      <c r="C53" s="103"/>
      <c r="D53" s="519"/>
      <c r="E53" s="437"/>
      <c r="F53" s="438"/>
      <c r="G53" s="42"/>
      <c r="H53" s="42"/>
    </row>
    <row r="54" spans="1:8" s="94" customFormat="1" ht="20.25">
      <c r="A54" s="505">
        <v>4.4</v>
      </c>
      <c r="B54" s="451" t="s">
        <v>450</v>
      </c>
      <c r="C54" s="452">
        <v>2.5</v>
      </c>
      <c r="D54" s="501" t="str">
        <f>IF(ISERROR(AVERAGE(D55:D56)),"Auto-calculate",ROUND(AVERAGE(D55:D56),2))</f>
        <v>Auto-calculate</v>
      </c>
      <c r="E54" s="454" t="str">
        <f>IF(OR((ISERROR(D54)="True"),(D54="Auto-calculate")),"Auto-calculate",IF((D54&gt;=90),2.5,IF((D54&gt;=75),2,IF((D54&gt;=60),1.5,IF((D54&gt;=50),1,IF((D54&gt;=0),0.5))))))</f>
        <v>Auto-calculate</v>
      </c>
      <c r="F54" s="455" t="str">
        <f>IF(OR((ISERROR(E54)="True"),(E54="Auto-calculate")),"Auto-calculate",IF((E54=2.5),"ดีมาก",IF((E54=2),"ดี",IF((E54=1.5),"พอใช้",IF((E54=1),"ต้องปรับปรุง",IF((E54=0.5),"ต้องปรับปรุงเร่งด่วน"))))))</f>
        <v>Auto-calculate</v>
      </c>
      <c r="G54" s="41"/>
      <c r="H54" s="41"/>
    </row>
    <row r="55" spans="1:8" s="32" customFormat="1" ht="42" customHeight="1">
      <c r="A55" s="504"/>
      <c r="B55" s="511" t="s">
        <v>1014</v>
      </c>
      <c r="C55" s="31"/>
      <c r="D55" s="519"/>
      <c r="E55" s="435"/>
      <c r="F55" s="436"/>
      <c r="G55" s="42"/>
      <c r="H55" s="42"/>
    </row>
    <row r="56" spans="1:8" s="32" customFormat="1" ht="21" thickBot="1">
      <c r="A56" s="504"/>
      <c r="B56" s="511" t="s">
        <v>1015</v>
      </c>
      <c r="C56" s="31"/>
      <c r="D56" s="519"/>
      <c r="E56" s="435"/>
      <c r="F56" s="436"/>
      <c r="G56" s="42"/>
      <c r="H56" s="42"/>
    </row>
    <row r="57" spans="1:8" s="469" customFormat="1" ht="22.5">
      <c r="A57" s="502" t="s">
        <v>888</v>
      </c>
      <c r="B57" s="509" t="s">
        <v>451</v>
      </c>
      <c r="C57" s="468">
        <v>10</v>
      </c>
      <c r="D57" s="499"/>
      <c r="E57" s="441" t="str">
        <f>IF(OR(ISERROR(SUM(E58,E75)="True"),(COUNT(E58,E75)=0)),"Auto-calculate",SUM(E58,E75))</f>
        <v>Auto-calculate</v>
      </c>
      <c r="F57" s="442" t="str">
        <f>IF(OR((ISERROR(E57)="True"),(E57="Auto-calculate")),"Auto-calculate",IF((E57&gt;=9),"ดีมาก",IF((E57&gt;=7.5),"ดี",IF((E57&gt;=6),"พอใช้",IF((E57&gt;=5),"ต้องปรับปรุง",IF((E57&gt;=0),"ต้องปรับปรุงเร่งด่วน"))))))</f>
        <v>Auto-calculate</v>
      </c>
      <c r="G57" s="141"/>
      <c r="H57" s="141"/>
    </row>
    <row r="58" spans="1:8" s="94" customFormat="1" ht="20.25">
      <c r="A58" s="503">
        <v>5.1</v>
      </c>
      <c r="B58" s="448" t="s">
        <v>452</v>
      </c>
      <c r="C58" s="433">
        <v>5</v>
      </c>
      <c r="D58" s="500" t="str">
        <f>IF(ISERROR(AVERAGE(D59,D63,D67,D71)),"Auto-calculate",ROUND(AVERAGE(D59,D63,D67,D71),2))</f>
        <v>Auto-calculate</v>
      </c>
      <c r="E58" s="450" t="str">
        <f>IF(OR((ISERROR(D58)="True"),(D58="Auto-calculate")),"Auto-calculate",IF((D58&gt;=90),5,IF((D58&gt;=75),4,IF((D58&gt;=60),3,IF((D58&gt;=50),2,IF((D58&gt;=0),1))))))</f>
        <v>Auto-calculate</v>
      </c>
      <c r="F58" s="667" t="str">
        <f>IF(OR((ISERROR(E58)="True"),(E58="Auto-calculate")),"Auto-calculate",IF((E58=5),"ดีมาก",IF((E58=4),"ดี",IF((E58=3),"พอใช้",IF((E58=2),"ต้องปรับปรุง",IF((E58=1),"ต้องปรับปรุงเร่งด่วน"))))))</f>
        <v>Auto-calculate</v>
      </c>
      <c r="G58" s="41"/>
      <c r="H58" s="41"/>
    </row>
    <row r="59" spans="1:8" s="32" customFormat="1" ht="40.5">
      <c r="A59" s="504"/>
      <c r="B59" s="511" t="s">
        <v>1016</v>
      </c>
      <c r="C59" s="31"/>
      <c r="D59" s="631" t="str">
        <f>IF(ISERROR(AVERAGE(D60:D62)),"Auto-calculate",ROUND(AVERAGE(D60:D62),2))</f>
        <v>Auto-calculate</v>
      </c>
      <c r="E59" s="643"/>
      <c r="F59" s="644"/>
      <c r="G59" s="42"/>
      <c r="H59" s="42"/>
    </row>
    <row r="60" spans="1:8" s="32" customFormat="1" ht="20.25">
      <c r="A60" s="504"/>
      <c r="B60" s="630" t="s">
        <v>1029</v>
      </c>
      <c r="C60" s="31"/>
      <c r="D60" s="519"/>
      <c r="E60" s="435"/>
      <c r="F60" s="436"/>
      <c r="G60" s="42"/>
      <c r="H60" s="42"/>
    </row>
    <row r="61" spans="1:8" s="32" customFormat="1" ht="20.25">
      <c r="A61" s="504"/>
      <c r="B61" s="630" t="s">
        <v>1030</v>
      </c>
      <c r="C61" s="31"/>
      <c r="D61" s="519"/>
      <c r="E61" s="435"/>
      <c r="F61" s="436"/>
      <c r="G61" s="42"/>
      <c r="H61" s="42"/>
    </row>
    <row r="62" spans="1:8" s="32" customFormat="1" ht="21" thickBot="1">
      <c r="A62" s="504"/>
      <c r="B62" s="630" t="s">
        <v>1031</v>
      </c>
      <c r="C62" s="103"/>
      <c r="D62" s="633"/>
      <c r="E62" s="437"/>
      <c r="F62" s="438"/>
      <c r="G62" s="42"/>
      <c r="H62" s="42"/>
    </row>
    <row r="63" spans="1:8" s="32" customFormat="1" ht="40.5">
      <c r="A63" s="504"/>
      <c r="B63" s="636" t="s">
        <v>1017</v>
      </c>
      <c r="C63" s="637"/>
      <c r="D63" s="501" t="str">
        <f>IF(ISERROR(AVERAGE(D64:D66)),"Auto-calculate",ROUND(AVERAGE(D64:D66),2))</f>
        <v>Auto-calculate</v>
      </c>
      <c r="E63" s="642"/>
      <c r="F63" s="641"/>
      <c r="G63" s="42"/>
      <c r="H63" s="42"/>
    </row>
    <row r="64" spans="1:8" s="32" customFormat="1" ht="20.25">
      <c r="A64" s="504"/>
      <c r="B64" s="630" t="s">
        <v>1029</v>
      </c>
      <c r="C64" s="31"/>
      <c r="D64" s="519"/>
      <c r="E64" s="435"/>
      <c r="F64" s="436"/>
      <c r="G64" s="42"/>
      <c r="H64" s="42"/>
    </row>
    <row r="65" spans="1:8" s="32" customFormat="1" ht="20.25">
      <c r="A65" s="504"/>
      <c r="B65" s="630" t="s">
        <v>1030</v>
      </c>
      <c r="C65" s="31"/>
      <c r="D65" s="519"/>
      <c r="E65" s="435"/>
      <c r="F65" s="436"/>
      <c r="G65" s="42"/>
      <c r="H65" s="42"/>
    </row>
    <row r="66" spans="1:8" s="32" customFormat="1" ht="21" thickBot="1">
      <c r="A66" s="504"/>
      <c r="B66" s="638" t="s">
        <v>1031</v>
      </c>
      <c r="C66" s="34"/>
      <c r="D66" s="520"/>
      <c r="E66" s="439"/>
      <c r="F66" s="440"/>
      <c r="G66" s="42"/>
      <c r="H66" s="42"/>
    </row>
    <row r="67" spans="1:8" s="32" customFormat="1" ht="40.5">
      <c r="A67" s="504"/>
      <c r="B67" s="634" t="s">
        <v>1018</v>
      </c>
      <c r="C67" s="635"/>
      <c r="D67" s="501" t="str">
        <f>IF(ISERROR(AVERAGE(D68:D70)),"Auto-calculate",ROUND(AVERAGE(D68:D70),2))</f>
        <v>Auto-calculate</v>
      </c>
      <c r="E67" s="645"/>
      <c r="F67" s="646"/>
      <c r="G67" s="42"/>
      <c r="H67" s="42"/>
    </row>
    <row r="68" spans="1:8" s="32" customFormat="1" ht="20.25">
      <c r="A68" s="504"/>
      <c r="B68" s="630" t="s">
        <v>1029</v>
      </c>
      <c r="C68" s="31"/>
      <c r="D68" s="519"/>
      <c r="E68" s="435"/>
      <c r="F68" s="436"/>
      <c r="G68" s="42"/>
      <c r="H68" s="42"/>
    </row>
    <row r="69" spans="1:8" s="32" customFormat="1" ht="20.25">
      <c r="A69" s="504"/>
      <c r="B69" s="630" t="s">
        <v>1030</v>
      </c>
      <c r="C69" s="31"/>
      <c r="D69" s="519"/>
      <c r="E69" s="435"/>
      <c r="F69" s="436"/>
      <c r="G69" s="42"/>
      <c r="H69" s="42"/>
    </row>
    <row r="70" spans="1:8" s="32" customFormat="1" ht="21" thickBot="1">
      <c r="A70" s="504"/>
      <c r="B70" s="630" t="s">
        <v>1031</v>
      </c>
      <c r="C70" s="103"/>
      <c r="D70" s="633"/>
      <c r="E70" s="437"/>
      <c r="F70" s="438"/>
      <c r="G70" s="42"/>
      <c r="H70" s="42"/>
    </row>
    <row r="71" spans="1:8" s="32" customFormat="1" ht="40.5">
      <c r="A71" s="632"/>
      <c r="B71" s="639" t="s">
        <v>1019</v>
      </c>
      <c r="C71" s="637"/>
      <c r="D71" s="501" t="str">
        <f>IF(ISERROR(AVERAGE(D72:D74)),"Auto-calculate",ROUND(AVERAGE(D72:D74),2))</f>
        <v>Auto-calculate</v>
      </c>
      <c r="E71" s="642"/>
      <c r="F71" s="641"/>
      <c r="G71" s="42"/>
      <c r="H71" s="42"/>
    </row>
    <row r="72" spans="1:8" s="32" customFormat="1" ht="20.25">
      <c r="A72" s="632"/>
      <c r="B72" s="630" t="s">
        <v>1029</v>
      </c>
      <c r="C72" s="31"/>
      <c r="D72" s="519"/>
      <c r="E72" s="435"/>
      <c r="F72" s="436"/>
      <c r="G72" s="42"/>
      <c r="H72" s="42"/>
    </row>
    <row r="73" spans="1:8" s="32" customFormat="1" ht="20.25">
      <c r="A73" s="632"/>
      <c r="B73" s="630" t="s">
        <v>1030</v>
      </c>
      <c r="C73" s="31"/>
      <c r="D73" s="519"/>
      <c r="E73" s="435"/>
      <c r="F73" s="436"/>
      <c r="G73" s="42"/>
      <c r="H73" s="42"/>
    </row>
    <row r="74" spans="1:8" s="32" customFormat="1" ht="21" thickBot="1">
      <c r="A74" s="506"/>
      <c r="B74" s="638" t="s">
        <v>1031</v>
      </c>
      <c r="C74" s="34"/>
      <c r="D74" s="520"/>
      <c r="E74" s="439"/>
      <c r="F74" s="440"/>
      <c r="G74" s="42"/>
      <c r="H74" s="42"/>
    </row>
    <row r="75" spans="1:8" s="94" customFormat="1" ht="20.25">
      <c r="A75" s="505">
        <v>5.2</v>
      </c>
      <c r="B75" s="451" t="s">
        <v>453</v>
      </c>
      <c r="C75" s="452">
        <v>5</v>
      </c>
      <c r="D75" s="501" t="str">
        <f>IF(ISERROR(AVERAGE(D76,D80,D84,D88)),"Auto-calculate",ROUND(AVERAGE(D76,D80,D84,D88),2))</f>
        <v>Auto-calculate</v>
      </c>
      <c r="E75" s="454" t="str">
        <f>IF(OR((ISERROR(D75)="True"),(D75="Auto-calculate")),"Auto-calculate",IF((D75&gt;=90),5,IF((D75&gt;=75),4,IF((D75&gt;=60),3,IF((D75&gt;=50),2,IF((D75&gt;=0),1))))))</f>
        <v>Auto-calculate</v>
      </c>
      <c r="F75" s="455" t="str">
        <f>IF(OR((ISERROR(E75)="True"),(E75="Auto-calculate")),"Auto-calculate",IF((E75=5),"ดีมาก",IF((E75=4),"ดี",IF((E75=3),"พอใช้",IF((E75=2),"ต้องปรับปรุง",IF((E75=1),"ต้องปรับปรุงเร่งด่วน"))))))</f>
        <v>Auto-calculate</v>
      </c>
      <c r="G75" s="41"/>
      <c r="H75" s="41"/>
    </row>
    <row r="76" spans="1:8" s="32" customFormat="1" ht="20.25">
      <c r="A76" s="504"/>
      <c r="B76" s="511" t="s">
        <v>1020</v>
      </c>
      <c r="C76" s="31"/>
      <c r="D76" s="631" t="str">
        <f>IF(ISERROR(AVERAGE(D77:D79)),"Auto-calculate",ROUND(AVERAGE(D77:D79),2))</f>
        <v>Auto-calculate</v>
      </c>
      <c r="E76" s="643"/>
      <c r="F76" s="644"/>
      <c r="G76" s="42"/>
      <c r="H76" s="42"/>
    </row>
    <row r="77" spans="1:8" s="32" customFormat="1" ht="20.25">
      <c r="A77" s="504"/>
      <c r="B77" s="630" t="s">
        <v>1029</v>
      </c>
      <c r="C77" s="31"/>
      <c r="D77" s="519"/>
      <c r="E77" s="435"/>
      <c r="F77" s="436"/>
      <c r="G77" s="42"/>
      <c r="H77" s="42"/>
    </row>
    <row r="78" spans="1:8" s="32" customFormat="1" ht="20.25">
      <c r="A78" s="504"/>
      <c r="B78" s="630" t="s">
        <v>1030</v>
      </c>
      <c r="C78" s="31"/>
      <c r="D78" s="519"/>
      <c r="E78" s="435"/>
      <c r="F78" s="436"/>
      <c r="G78" s="42"/>
      <c r="H78" s="42"/>
    </row>
    <row r="79" spans="1:8" s="32" customFormat="1" ht="21" thickBot="1">
      <c r="A79" s="504"/>
      <c r="B79" s="630" t="s">
        <v>1031</v>
      </c>
      <c r="C79" s="103"/>
      <c r="D79" s="633"/>
      <c r="E79" s="437"/>
      <c r="F79" s="438"/>
      <c r="G79" s="42"/>
      <c r="H79" s="42"/>
    </row>
    <row r="80" spans="1:8" s="32" customFormat="1" ht="40.5">
      <c r="A80" s="504"/>
      <c r="B80" s="636" t="s">
        <v>1021</v>
      </c>
      <c r="C80" s="637"/>
      <c r="D80" s="501" t="str">
        <f>IF(ISERROR(AVERAGE(D81:D83)),"Auto-calculate",ROUND(AVERAGE(D81:D83),2))</f>
        <v>Auto-calculate</v>
      </c>
      <c r="E80" s="642"/>
      <c r="F80" s="641"/>
      <c r="G80" s="42"/>
      <c r="H80" s="42"/>
    </row>
    <row r="81" spans="1:8" s="32" customFormat="1" ht="20.25">
      <c r="A81" s="504"/>
      <c r="B81" s="630" t="s">
        <v>1029</v>
      </c>
      <c r="C81" s="31"/>
      <c r="D81" s="519"/>
      <c r="E81" s="435"/>
      <c r="F81" s="436"/>
      <c r="G81" s="42"/>
      <c r="H81" s="42"/>
    </row>
    <row r="82" spans="1:8" s="32" customFormat="1" ht="20.25">
      <c r="A82" s="504"/>
      <c r="B82" s="630" t="s">
        <v>1030</v>
      </c>
      <c r="C82" s="31"/>
      <c r="D82" s="519"/>
      <c r="E82" s="435"/>
      <c r="F82" s="436"/>
      <c r="G82" s="42"/>
      <c r="H82" s="42"/>
    </row>
    <row r="83" spans="1:8" s="32" customFormat="1" ht="21" thickBot="1">
      <c r="A83" s="504"/>
      <c r="B83" s="638" t="s">
        <v>1031</v>
      </c>
      <c r="C83" s="34"/>
      <c r="D83" s="520"/>
      <c r="E83" s="439"/>
      <c r="F83" s="440"/>
      <c r="G83" s="42"/>
      <c r="H83" s="42"/>
    </row>
    <row r="84" spans="1:8" s="32" customFormat="1" ht="30.75" customHeight="1">
      <c r="A84" s="504"/>
      <c r="B84" s="634" t="s">
        <v>1022</v>
      </c>
      <c r="C84" s="635"/>
      <c r="D84" s="501" t="str">
        <f>IF(ISERROR(AVERAGE(D85:D87)),"Auto-calculate",ROUND(AVERAGE(D85:D87),2))</f>
        <v>Auto-calculate</v>
      </c>
      <c r="E84" s="645"/>
      <c r="F84" s="646"/>
      <c r="G84" s="42"/>
      <c r="H84" s="42"/>
    </row>
    <row r="85" spans="1:8" s="32" customFormat="1" ht="20.25">
      <c r="A85" s="504"/>
      <c r="B85" s="630" t="s">
        <v>1029</v>
      </c>
      <c r="C85" s="31"/>
      <c r="D85" s="519"/>
      <c r="E85" s="435"/>
      <c r="F85" s="436"/>
      <c r="G85" s="42"/>
      <c r="H85" s="42"/>
    </row>
    <row r="86" spans="1:8" s="32" customFormat="1" ht="20.25">
      <c r="A86" s="504"/>
      <c r="B86" s="630" t="s">
        <v>1030</v>
      </c>
      <c r="C86" s="31"/>
      <c r="D86" s="519"/>
      <c r="E86" s="435"/>
      <c r="F86" s="436"/>
      <c r="G86" s="42"/>
      <c r="H86" s="42"/>
    </row>
    <row r="87" spans="1:8" s="32" customFormat="1" ht="21" thickBot="1">
      <c r="A87" s="504"/>
      <c r="B87" s="630" t="s">
        <v>1031</v>
      </c>
      <c r="C87" s="103"/>
      <c r="D87" s="633"/>
      <c r="E87" s="437"/>
      <c r="F87" s="438"/>
      <c r="G87" s="42"/>
      <c r="H87" s="42"/>
    </row>
    <row r="88" spans="1:8" s="32" customFormat="1" ht="20.25">
      <c r="A88" s="632"/>
      <c r="B88" s="639" t="s">
        <v>1023</v>
      </c>
      <c r="C88" s="637"/>
      <c r="D88" s="501" t="str">
        <f>IF(ISERROR(AVERAGE(D89:D91)),"Auto-calculate",ROUND(AVERAGE(D89:D91),2))</f>
        <v>Auto-calculate</v>
      </c>
      <c r="E88" s="642"/>
      <c r="F88" s="641"/>
      <c r="G88" s="42"/>
      <c r="H88" s="42"/>
    </row>
    <row r="89" spans="1:8" s="32" customFormat="1" ht="20.25">
      <c r="A89" s="632"/>
      <c r="B89" s="640" t="s">
        <v>1029</v>
      </c>
      <c r="C89" s="31"/>
      <c r="D89" s="519"/>
      <c r="E89" s="435"/>
      <c r="F89" s="436"/>
      <c r="G89" s="42"/>
      <c r="H89" s="42"/>
    </row>
    <row r="90" spans="1:8" s="32" customFormat="1" ht="20.25">
      <c r="A90" s="632"/>
      <c r="B90" s="640" t="s">
        <v>1030</v>
      </c>
      <c r="C90" s="31"/>
      <c r="D90" s="519"/>
      <c r="E90" s="435"/>
      <c r="F90" s="436"/>
      <c r="G90" s="42"/>
      <c r="H90" s="42"/>
    </row>
    <row r="91" spans="1:8" s="32" customFormat="1" ht="21" thickBot="1">
      <c r="A91" s="504"/>
      <c r="B91" s="630" t="s">
        <v>1031</v>
      </c>
      <c r="C91" s="103"/>
      <c r="D91" s="633"/>
      <c r="E91" s="437"/>
      <c r="F91" s="438"/>
      <c r="G91" s="42"/>
      <c r="H91" s="42"/>
    </row>
    <row r="92" spans="1:7" s="94" customFormat="1" ht="21">
      <c r="A92" s="507" t="s">
        <v>889</v>
      </c>
      <c r="B92" s="514" t="s">
        <v>454</v>
      </c>
      <c r="C92" s="447">
        <v>35</v>
      </c>
      <c r="D92" s="203"/>
      <c r="E92" s="441" t="str">
        <f>IF(OR(ISERROR(SUM(E93,E100,E106,E114,E120,E126)="True"),(COUNT(E93,E100,E106,E114,E120,E126)=0)),"Auto-calculate",SUM(E93,E100,E106,E114,E120,E126))</f>
        <v>Auto-calculate</v>
      </c>
      <c r="F92" s="442" t="str">
        <f>IF(OR((ISERROR(E92)="True"),(E92="Auto-calculate")),"Auto-calculate",IF((E92&gt;=31.5),"ดีมาก",IF((E92&gt;=26.25),"ดี",IF((E92&gt;=21),"พอใช้",IF((E92&gt;=17.5),"ต้องปรับปรุง",IF((E92&gt;=0),"ต้องปรับปรุงเร่งด่วน"))))))</f>
        <v>Auto-calculate</v>
      </c>
      <c r="G92" s="41"/>
    </row>
    <row r="93" spans="1:8" s="94" customFormat="1" ht="20.25">
      <c r="A93" s="503">
        <v>6.1</v>
      </c>
      <c r="B93" s="448" t="s">
        <v>455</v>
      </c>
      <c r="C93" s="433">
        <v>5</v>
      </c>
      <c r="D93" s="449" t="str">
        <f>IF(OR((ISERROR(SUM(D94:D99))="True"),(COUNT(D94:D99)=0)),"Auto-calculate",SUM(D94:D99))</f>
        <v>Auto-calculate</v>
      </c>
      <c r="E93" s="450" t="str">
        <f>IF(OR((ISERROR(D93)="True"),(D93="Auto-calculate")),"Auto-calculate",IF((D93=6),5,IF((D93=5),4,IF((D93=4),3,IF((D93=3),2,IF((D93&lt;=2),1))))))</f>
        <v>Auto-calculate</v>
      </c>
      <c r="F93" s="667" t="str">
        <f>IF(OR((ISERROR(E93)="True"),(E93="Auto-calculate")),"Auto-calculate",IF((E93=5),"ดีมาก",IF((E93=4),"ดี",IF((E93=3),"พอใช้",IF((E93=2),"ต้องปรับปรุง",IF((E93=1),"ต้องปรับปรุงเร่งด่วน"))))))</f>
        <v>Auto-calculate</v>
      </c>
      <c r="G93" s="43"/>
      <c r="H93" s="38"/>
    </row>
    <row r="94" spans="1:8" s="9" customFormat="1" ht="60.75">
      <c r="A94" s="186"/>
      <c r="B94" s="192" t="s">
        <v>456</v>
      </c>
      <c r="C94" s="10"/>
      <c r="D94" s="175"/>
      <c r="E94" s="426"/>
      <c r="F94" s="162"/>
      <c r="G94" s="41"/>
      <c r="H94" s="45"/>
    </row>
    <row r="95" spans="1:8" s="9" customFormat="1" ht="40.5">
      <c r="A95" s="186"/>
      <c r="B95" s="192" t="s">
        <v>457</v>
      </c>
      <c r="C95" s="10"/>
      <c r="D95" s="175"/>
      <c r="E95" s="426"/>
      <c r="F95" s="162"/>
      <c r="G95" s="41"/>
      <c r="H95" s="45"/>
    </row>
    <row r="96" spans="1:8" s="9" customFormat="1" ht="40.5">
      <c r="A96" s="186"/>
      <c r="B96" s="192" t="s">
        <v>458</v>
      </c>
      <c r="C96" s="10"/>
      <c r="D96" s="175"/>
      <c r="E96" s="426"/>
      <c r="F96" s="162"/>
      <c r="G96" s="41"/>
      <c r="H96" s="45"/>
    </row>
    <row r="97" spans="1:8" s="9" customFormat="1" ht="40.5">
      <c r="A97" s="186"/>
      <c r="B97" s="192" t="s">
        <v>459</v>
      </c>
      <c r="C97" s="10"/>
      <c r="D97" s="175"/>
      <c r="E97" s="426"/>
      <c r="F97" s="162"/>
      <c r="G97" s="41"/>
      <c r="H97" s="45"/>
    </row>
    <row r="98" spans="1:8" s="9" customFormat="1" ht="60.75">
      <c r="A98" s="186"/>
      <c r="B98" s="193" t="s">
        <v>460</v>
      </c>
      <c r="C98" s="11"/>
      <c r="D98" s="176"/>
      <c r="E98" s="427"/>
      <c r="F98" s="163"/>
      <c r="G98" s="41"/>
      <c r="H98" s="45"/>
    </row>
    <row r="99" spans="1:8" s="9" customFormat="1" ht="41.25" thickBot="1">
      <c r="A99" s="186"/>
      <c r="B99" s="193" t="s">
        <v>387</v>
      </c>
      <c r="C99" s="11"/>
      <c r="D99" s="176"/>
      <c r="E99" s="427"/>
      <c r="F99" s="163"/>
      <c r="G99" s="41"/>
      <c r="H99" s="45"/>
    </row>
    <row r="100" spans="1:8" s="94" customFormat="1" ht="40.5">
      <c r="A100" s="505">
        <v>6.2</v>
      </c>
      <c r="B100" s="451" t="s">
        <v>461</v>
      </c>
      <c r="C100" s="452">
        <v>5</v>
      </c>
      <c r="D100" s="453" t="str">
        <f>IF(OR((ISERROR(SUM(D101:D105))="True"),(COUNT(D101:D105)=0)),"Auto-calculate",SUM(D101:D105))</f>
        <v>Auto-calculate</v>
      </c>
      <c r="E100" s="454" t="str">
        <f>IF(OR((ISERROR(D100)="True"),(D100="Auto-calculate")),"Auto-calculate",IF((D100=5),5,IF((D100=4),4,IF((D100=3),3,IF((D100=2),2,IF((D100&lt;=1),1))))))</f>
        <v>Auto-calculate</v>
      </c>
      <c r="F100" s="455" t="str">
        <f>IF(OR((ISERROR(E100)="True"),(E100="Auto-calculate")),"Auto-calculate",IF((E100=5),"ดีมาก",IF((E100=4),"ดี",IF((E100=3),"พอใช้",IF((E100=2),"ต้องปรับปรุง",IF((E100=1),"ต้องปรับปรุงเร่งด่วน"))))))</f>
        <v>Auto-calculate</v>
      </c>
      <c r="G100" s="43"/>
      <c r="H100" s="38"/>
    </row>
    <row r="101" spans="1:8" s="9" customFormat="1" ht="40.5">
      <c r="A101" s="186"/>
      <c r="B101" s="192" t="s">
        <v>371</v>
      </c>
      <c r="C101" s="10"/>
      <c r="D101" s="175"/>
      <c r="E101" s="428"/>
      <c r="F101" s="162"/>
      <c r="G101" s="41"/>
      <c r="H101" s="45"/>
    </row>
    <row r="102" spans="1:8" s="9" customFormat="1" ht="40.5">
      <c r="A102" s="186"/>
      <c r="B102" s="192" t="s">
        <v>462</v>
      </c>
      <c r="C102" s="10"/>
      <c r="D102" s="175"/>
      <c r="E102" s="428"/>
      <c r="F102" s="162"/>
      <c r="G102" s="41"/>
      <c r="H102" s="45"/>
    </row>
    <row r="103" spans="1:8" s="9" customFormat="1" ht="60.75">
      <c r="A103" s="186"/>
      <c r="B103" s="192" t="s">
        <v>463</v>
      </c>
      <c r="C103" s="10"/>
      <c r="D103" s="175"/>
      <c r="E103" s="428"/>
      <c r="F103" s="162"/>
      <c r="G103" s="41"/>
      <c r="H103" s="45"/>
    </row>
    <row r="104" spans="1:8" s="9" customFormat="1" ht="60.75">
      <c r="A104" s="186"/>
      <c r="B104" s="192" t="s">
        <v>388</v>
      </c>
      <c r="C104" s="10"/>
      <c r="D104" s="175"/>
      <c r="E104" s="428"/>
      <c r="F104" s="162"/>
      <c r="G104" s="41"/>
      <c r="H104" s="45"/>
    </row>
    <row r="105" spans="1:8" s="9" customFormat="1" ht="61.5" thickBot="1">
      <c r="A105" s="189"/>
      <c r="B105" s="521" t="s">
        <v>389</v>
      </c>
      <c r="C105" s="522"/>
      <c r="D105" s="177"/>
      <c r="E105" s="430"/>
      <c r="F105" s="166"/>
      <c r="G105" s="41"/>
      <c r="H105" s="45"/>
    </row>
    <row r="106" spans="1:8" s="94" customFormat="1" ht="20.25">
      <c r="A106" s="505">
        <v>6.3</v>
      </c>
      <c r="B106" s="451" t="s">
        <v>464</v>
      </c>
      <c r="C106" s="452">
        <v>5</v>
      </c>
      <c r="D106" s="453" t="str">
        <f>IF(OR((ISERROR(SUM(D107:D113))="True"),(COUNT(D107:D113)=0)),"Auto-calculate",SUM(D107:D113))</f>
        <v>Auto-calculate</v>
      </c>
      <c r="E106" s="454" t="str">
        <f>IF(OR((ISERROR(D106)="True"),(D106="Auto-calculate")),"Auto-calculate",IF((D106=7),5,IF((D106=6),4,IF((D106=5),3,IF(OR((D106=4),(D106=3)),2,IF((D106&lt;=2),1))))))</f>
        <v>Auto-calculate</v>
      </c>
      <c r="F106" s="455" t="str">
        <f>IF(OR((ISERROR(E106)="True"),(E106="Auto-calculate")),"Auto-calculate",IF((E106=5),"ดีมาก",IF((E106=4),"ดี",IF((E106=3),"พอใช้",IF((E106=2),"ต้องปรับปรุง",IF((E106=1),"ต้องปรับปรุงเร่งด่วน"))))))</f>
        <v>Auto-calculate</v>
      </c>
      <c r="G106" s="43"/>
      <c r="H106" s="38"/>
    </row>
    <row r="107" spans="1:8" s="9" customFormat="1" ht="40.5">
      <c r="A107" s="186"/>
      <c r="B107" s="192" t="s">
        <v>390</v>
      </c>
      <c r="C107" s="10"/>
      <c r="D107" s="175"/>
      <c r="E107" s="428"/>
      <c r="F107" s="162"/>
      <c r="G107" s="41"/>
      <c r="H107" s="45"/>
    </row>
    <row r="108" spans="1:8" s="9" customFormat="1" ht="60.75">
      <c r="A108" s="186"/>
      <c r="B108" s="192" t="s">
        <v>465</v>
      </c>
      <c r="C108" s="10"/>
      <c r="D108" s="175"/>
      <c r="E108" s="428"/>
      <c r="F108" s="162"/>
      <c r="G108" s="41"/>
      <c r="H108" s="45"/>
    </row>
    <row r="109" spans="1:8" s="9" customFormat="1" ht="40.5">
      <c r="A109" s="186"/>
      <c r="B109" s="192" t="s">
        <v>466</v>
      </c>
      <c r="C109" s="10"/>
      <c r="D109" s="175"/>
      <c r="E109" s="428"/>
      <c r="F109" s="162"/>
      <c r="G109" s="41"/>
      <c r="H109" s="45"/>
    </row>
    <row r="110" spans="1:8" s="9" customFormat="1" ht="40.5">
      <c r="A110" s="186"/>
      <c r="B110" s="192" t="s">
        <v>467</v>
      </c>
      <c r="C110" s="10"/>
      <c r="D110" s="175"/>
      <c r="E110" s="428"/>
      <c r="F110" s="162"/>
      <c r="G110" s="41"/>
      <c r="H110" s="45"/>
    </row>
    <row r="111" spans="1:8" s="9" customFormat="1" ht="40.5">
      <c r="A111" s="186"/>
      <c r="B111" s="193" t="s">
        <v>468</v>
      </c>
      <c r="C111" s="11"/>
      <c r="D111" s="176"/>
      <c r="E111" s="427"/>
      <c r="F111" s="163"/>
      <c r="G111" s="41"/>
      <c r="H111" s="45"/>
    </row>
    <row r="112" spans="1:8" s="9" customFormat="1" ht="40.5">
      <c r="A112" s="186"/>
      <c r="B112" s="193" t="s">
        <v>469</v>
      </c>
      <c r="C112" s="11"/>
      <c r="D112" s="176"/>
      <c r="E112" s="427"/>
      <c r="F112" s="163"/>
      <c r="G112" s="41"/>
      <c r="H112" s="45"/>
    </row>
    <row r="113" spans="1:8" s="9" customFormat="1" ht="61.5" thickBot="1">
      <c r="A113" s="189"/>
      <c r="B113" s="521" t="s">
        <v>470</v>
      </c>
      <c r="C113" s="522"/>
      <c r="D113" s="177"/>
      <c r="E113" s="430"/>
      <c r="F113" s="166"/>
      <c r="G113" s="41"/>
      <c r="H113" s="45"/>
    </row>
    <row r="114" spans="1:8" s="94" customFormat="1" ht="20.25">
      <c r="A114" s="505">
        <v>6.4</v>
      </c>
      <c r="B114" s="451" t="s">
        <v>471</v>
      </c>
      <c r="C114" s="452">
        <v>5</v>
      </c>
      <c r="D114" s="453" t="str">
        <f>IF(OR((ISERROR(SUM(D115:D119))="True"),(COUNT(D115:D119)=0)),"Auto-calculate",SUM(D115:D119))</f>
        <v>Auto-calculate</v>
      </c>
      <c r="E114" s="454" t="str">
        <f>IF(OR((ISERROR(D114)="True"),(D114="Auto-calculate")),"Auto-calculate",IF((D114=5),5,IF((D114=4),4,IF((D114=3),3,IF((D114=2),2,IF((D114&lt;=1),1))))))</f>
        <v>Auto-calculate</v>
      </c>
      <c r="F114" s="455" t="str">
        <f>IF(OR((ISERROR(E114)="True"),(E114="Auto-calculate")),"Auto-calculate",IF((E114=5),"ดีมาก",IF((E114=4),"ดี",IF((E114=3),"พอใช้",IF((E114=2),"ต้องปรับปรุง",IF((E114=1),"ต้องปรับปรุงเร่งด่วน"))))))</f>
        <v>Auto-calculate</v>
      </c>
      <c r="G114" s="43"/>
      <c r="H114" s="38"/>
    </row>
    <row r="115" spans="1:8" s="9" customFormat="1" ht="48.75" customHeight="1">
      <c r="A115" s="186"/>
      <c r="B115" s="417" t="s">
        <v>472</v>
      </c>
      <c r="C115" s="10"/>
      <c r="D115" s="175"/>
      <c r="E115" s="428"/>
      <c r="F115" s="162"/>
      <c r="G115" s="41"/>
      <c r="H115" s="45"/>
    </row>
    <row r="116" spans="1:8" s="9" customFormat="1" ht="60.75">
      <c r="A116" s="186"/>
      <c r="B116" s="192" t="s">
        <v>473</v>
      </c>
      <c r="C116" s="10"/>
      <c r="D116" s="175"/>
      <c r="E116" s="428"/>
      <c r="F116" s="162"/>
      <c r="G116" s="41"/>
      <c r="H116" s="45"/>
    </row>
    <row r="117" spans="1:8" s="9" customFormat="1" ht="40.5">
      <c r="A117" s="186"/>
      <c r="B117" s="192" t="s">
        <v>474</v>
      </c>
      <c r="C117" s="10"/>
      <c r="D117" s="175"/>
      <c r="E117" s="428"/>
      <c r="F117" s="162"/>
      <c r="G117" s="41"/>
      <c r="H117" s="45"/>
    </row>
    <row r="118" spans="1:8" s="9" customFormat="1" ht="101.25">
      <c r="A118" s="186"/>
      <c r="B118" s="192" t="s">
        <v>475</v>
      </c>
      <c r="C118" s="10"/>
      <c r="D118" s="175"/>
      <c r="E118" s="428"/>
      <c r="F118" s="162"/>
      <c r="G118" s="41"/>
      <c r="H118" s="45"/>
    </row>
    <row r="119" spans="1:8" s="9" customFormat="1" ht="41.25" thickBot="1">
      <c r="A119" s="186"/>
      <c r="B119" s="193" t="s">
        <v>476</v>
      </c>
      <c r="C119" s="11"/>
      <c r="D119" s="176"/>
      <c r="E119" s="427"/>
      <c r="F119" s="163"/>
      <c r="G119" s="41"/>
      <c r="H119" s="45"/>
    </row>
    <row r="120" spans="1:8" s="94" customFormat="1" ht="20.25">
      <c r="A120" s="505">
        <v>6.5</v>
      </c>
      <c r="B120" s="451" t="s">
        <v>477</v>
      </c>
      <c r="C120" s="452">
        <v>5</v>
      </c>
      <c r="D120" s="453" t="str">
        <f>IF(OR((ISERROR(SUM(D121:D125))="True"),(COUNT(D121:D125)=0)),"Auto-calculate",SUM(D121:D125))</f>
        <v>Auto-calculate</v>
      </c>
      <c r="E120" s="454" t="str">
        <f>IF(OR((ISERROR(D120)="True"),(D120="Auto-calculate")),"Auto-calculate",IF((D120=5),5,IF((D120=4),4,IF((D120=3),3,IF((D120=2),2,IF((D120&lt;=1),1))))))</f>
        <v>Auto-calculate</v>
      </c>
      <c r="F120" s="455" t="str">
        <f>IF(OR((ISERROR(E120)="True"),(E120="Auto-calculate")),"Auto-calculate",IF((E120=5),"ดีมาก",IF((E120=4),"ดี",IF((E120=3),"พอใช้",IF((E120=2),"ต้องปรับปรุง",IF((E120=1),"ต้องปรับปรุงเร่งด่วน"))))))</f>
        <v>Auto-calculate</v>
      </c>
      <c r="G120" s="43"/>
      <c r="H120" s="38"/>
    </row>
    <row r="121" spans="1:8" s="9" customFormat="1" ht="40.5">
      <c r="A121" s="186"/>
      <c r="B121" s="417" t="s">
        <v>478</v>
      </c>
      <c r="C121" s="10"/>
      <c r="D121" s="175"/>
      <c r="E121" s="428"/>
      <c r="F121" s="162"/>
      <c r="G121" s="41"/>
      <c r="H121" s="45"/>
    </row>
    <row r="122" spans="1:8" s="9" customFormat="1" ht="40.5">
      <c r="A122" s="186"/>
      <c r="B122" s="192" t="s">
        <v>479</v>
      </c>
      <c r="C122" s="10"/>
      <c r="D122" s="175"/>
      <c r="E122" s="428"/>
      <c r="F122" s="162"/>
      <c r="G122" s="41"/>
      <c r="H122" s="45"/>
    </row>
    <row r="123" spans="1:8" s="9" customFormat="1" ht="60.75">
      <c r="A123" s="186"/>
      <c r="B123" s="192" t="s">
        <v>480</v>
      </c>
      <c r="C123" s="10"/>
      <c r="D123" s="175"/>
      <c r="E123" s="428"/>
      <c r="F123" s="162"/>
      <c r="G123" s="41"/>
      <c r="H123" s="45"/>
    </row>
    <row r="124" spans="1:8" s="9" customFormat="1" ht="40.5">
      <c r="A124" s="186"/>
      <c r="B124" s="192" t="s">
        <v>481</v>
      </c>
      <c r="C124" s="10"/>
      <c r="D124" s="175"/>
      <c r="E124" s="428"/>
      <c r="F124" s="162"/>
      <c r="G124" s="41"/>
      <c r="H124" s="45"/>
    </row>
    <row r="125" spans="1:8" s="9" customFormat="1" ht="41.25" thickBot="1">
      <c r="A125" s="189"/>
      <c r="B125" s="521" t="s">
        <v>482</v>
      </c>
      <c r="C125" s="522"/>
      <c r="D125" s="177"/>
      <c r="E125" s="430"/>
      <c r="F125" s="166"/>
      <c r="G125" s="41"/>
      <c r="H125" s="45"/>
    </row>
    <row r="126" spans="1:8" s="94" customFormat="1" ht="40.5">
      <c r="A126" s="505">
        <v>6.6</v>
      </c>
      <c r="B126" s="451" t="s">
        <v>483</v>
      </c>
      <c r="C126" s="452">
        <v>10</v>
      </c>
      <c r="D126" s="453" t="str">
        <f>IF(OR((ISERROR(SUM(D127:D136))="True"),(COUNT(D127:D136)=0)),"Auto-calculate",SUM(D127:D136))</f>
        <v>Auto-calculate</v>
      </c>
      <c r="E126" s="454" t="str">
        <f>IF(OR((ISERROR(D126)="True"),(D126="Auto-calculate")),"Auto-calculate",IF((D126=10),10,IF((D126=9),8,IF(OR((D126=7),(D126=8)),6,IF(OR((D126=5),(D126=6)),4,IF((D126&lt;=4),2))))))</f>
        <v>Auto-calculate</v>
      </c>
      <c r="F126" s="455" t="str">
        <f>IF(OR((ISERROR(E126)="True"),(E126="Auto-calculate")),"Auto-calculate",IF((E126=10),"ดีมาก",IF((E126=8),"ดี",IF((E126=6),"พอใช้",IF((E126=4),"ต้องปรับปรุง",IF((E126=2),"ต้องปรับปรุงเร่งด่วน"))))))</f>
        <v>Auto-calculate</v>
      </c>
      <c r="G126" s="43"/>
      <c r="H126" s="38"/>
    </row>
    <row r="127" spans="1:8" s="9" customFormat="1" ht="60.75">
      <c r="A127" s="186"/>
      <c r="B127" s="417" t="s">
        <v>484</v>
      </c>
      <c r="C127" s="10"/>
      <c r="D127" s="175"/>
      <c r="E127" s="428"/>
      <c r="F127" s="162"/>
      <c r="G127" s="41"/>
      <c r="H127" s="45"/>
    </row>
    <row r="128" spans="1:8" s="9" customFormat="1" ht="48.75" customHeight="1">
      <c r="A128" s="186"/>
      <c r="B128" s="192" t="s">
        <v>485</v>
      </c>
      <c r="C128" s="10"/>
      <c r="D128" s="175"/>
      <c r="E128" s="428"/>
      <c r="F128" s="162"/>
      <c r="G128" s="41"/>
      <c r="H128" s="45"/>
    </row>
    <row r="129" spans="1:8" s="9" customFormat="1" ht="40.5">
      <c r="A129" s="186"/>
      <c r="B129" s="192" t="s">
        <v>486</v>
      </c>
      <c r="C129" s="10"/>
      <c r="D129" s="175"/>
      <c r="E129" s="428"/>
      <c r="F129" s="162"/>
      <c r="G129" s="41"/>
      <c r="H129" s="45"/>
    </row>
    <row r="130" spans="1:8" s="9" customFormat="1" ht="40.5">
      <c r="A130" s="186"/>
      <c r="B130" s="192" t="s">
        <v>487</v>
      </c>
      <c r="C130" s="10"/>
      <c r="D130" s="175"/>
      <c r="E130" s="428"/>
      <c r="F130" s="162"/>
      <c r="G130" s="41"/>
      <c r="H130" s="45"/>
    </row>
    <row r="131" spans="1:8" s="9" customFormat="1" ht="40.5">
      <c r="A131" s="186"/>
      <c r="B131" s="193" t="s">
        <v>488</v>
      </c>
      <c r="C131" s="11"/>
      <c r="D131" s="176"/>
      <c r="E131" s="427"/>
      <c r="F131" s="163"/>
      <c r="G131" s="41"/>
      <c r="H131" s="45"/>
    </row>
    <row r="132" spans="1:8" s="9" customFormat="1" ht="40.5">
      <c r="A132" s="186"/>
      <c r="B132" s="193" t="s">
        <v>489</v>
      </c>
      <c r="C132" s="11"/>
      <c r="D132" s="176"/>
      <c r="E132" s="427"/>
      <c r="F132" s="163"/>
      <c r="G132" s="41"/>
      <c r="H132" s="45"/>
    </row>
    <row r="133" spans="1:8" s="9" customFormat="1" ht="60.75">
      <c r="A133" s="186"/>
      <c r="B133" s="193" t="s">
        <v>490</v>
      </c>
      <c r="C133" s="11"/>
      <c r="D133" s="176"/>
      <c r="E133" s="427"/>
      <c r="F133" s="163"/>
      <c r="G133" s="41"/>
      <c r="H133" s="45"/>
    </row>
    <row r="134" spans="1:8" s="9" customFormat="1" ht="60.75">
      <c r="A134" s="224"/>
      <c r="B134" s="192" t="s">
        <v>491</v>
      </c>
      <c r="C134" s="10"/>
      <c r="D134" s="175"/>
      <c r="E134" s="428"/>
      <c r="F134" s="162"/>
      <c r="G134" s="41"/>
      <c r="H134" s="45"/>
    </row>
    <row r="135" spans="1:8" s="9" customFormat="1" ht="60.75">
      <c r="A135" s="224"/>
      <c r="B135" s="192" t="s">
        <v>492</v>
      </c>
      <c r="C135" s="10"/>
      <c r="D135" s="175"/>
      <c r="E135" s="428"/>
      <c r="F135" s="162"/>
      <c r="G135" s="41"/>
      <c r="H135" s="45"/>
    </row>
    <row r="136" spans="1:8" s="9" customFormat="1" ht="41.25" thickBot="1">
      <c r="A136" s="186"/>
      <c r="B136" s="193" t="s">
        <v>493</v>
      </c>
      <c r="C136" s="11"/>
      <c r="D136" s="176"/>
      <c r="E136" s="427"/>
      <c r="F136" s="163"/>
      <c r="G136" s="41"/>
      <c r="H136" s="45"/>
    </row>
    <row r="137" spans="1:8" s="19" customFormat="1" ht="21">
      <c r="A137" s="184" t="s">
        <v>890</v>
      </c>
      <c r="B137" s="515" t="s">
        <v>876</v>
      </c>
      <c r="C137" s="28">
        <v>15</v>
      </c>
      <c r="D137" s="220"/>
      <c r="E137" s="441" t="str">
        <f>IF(OR(ISERROR(SUM(E138,E143,E149,E154,E163,E176)="True"),(COUNT(E138,E143,E149,E154,E163,E176)=0)),"Auto-calculate",SUM(E138,E143,E149,E154,E163,E176))</f>
        <v>Auto-calculate</v>
      </c>
      <c r="F137" s="442" t="str">
        <f>IF(OR((ISERROR(E137)="True"),(E137="Auto-calculate")),"Auto-calculate",IF((E137&gt;=13.5),"ดีมาก",IF((E137&gt;=11.25),"ดี",IF((E137&gt;=9),"พอใช้",IF((E137&gt;=7.5),"ต้องปรับปรุง",IF((E137&gt;=0),"ต้องปรับปรุงเร่งด่วน"))))))</f>
        <v>Auto-calculate</v>
      </c>
      <c r="G137" s="41"/>
      <c r="H137" s="38">
        <f>IF(OR((E137="Auto-Calculate"),(COUNT(#REF!)&lt;5)),"",VLOOKUP(E137,'เกณฑ์ประเมิน-ประถม&amp;มัธยม'!B33:C38,2,0))</f>
      </c>
    </row>
    <row r="138" spans="1:8" s="94" customFormat="1" ht="20.25">
      <c r="A138" s="503">
        <v>7.1</v>
      </c>
      <c r="B138" s="448" t="s">
        <v>494</v>
      </c>
      <c r="C138" s="433">
        <v>2.5</v>
      </c>
      <c r="D138" s="449" t="str">
        <f>IF(OR((ISERROR(SUM(D139:D142))="True"),(COUNT(D139:D142)=0)),"Auto-calculate",SUM(D139:D142))</f>
        <v>Auto-calculate</v>
      </c>
      <c r="E138" s="450" t="str">
        <f>IF(OR((ISERROR(D138)="True"),(D138="Auto-calculate")),"Auto-calculate",IF((D138=4),2.5,IF((D138=3),2,IF((D138=2),1.5,IF((D138=1),1,IF((D138=0),0.5))))))</f>
        <v>Auto-calculate</v>
      </c>
      <c r="F138" s="667" t="str">
        <f>IF(OR((ISERROR(E138)="True"),(E138="Auto-calculate")),"Auto-calculate",IF((E138=2.5),"ดีมาก",IF((E138=2),"ดี",IF((E138=1.5),"พอใช้",IF((E138=1),"ต้องปรับปรุง",IF((E138=0.5),"ต้องปรับปรุงเร่งด่วน"))))))</f>
        <v>Auto-calculate</v>
      </c>
      <c r="G138" s="43"/>
      <c r="H138" s="38">
        <f>IF(OR((E138="Auto-Calculate"),(COUNT(D139:D142)&lt;5)),"",VLOOKUP(E138,'เกณฑ์ประเมิน-ประถม&amp;มัธยม'!B49:C53,2,0))</f>
      </c>
    </row>
    <row r="139" spans="1:8" s="9" customFormat="1" ht="20.25">
      <c r="A139" s="186"/>
      <c r="B139" s="417" t="s">
        <v>495</v>
      </c>
      <c r="C139" s="10"/>
      <c r="D139" s="175"/>
      <c r="E139" s="428"/>
      <c r="F139" s="162"/>
      <c r="G139" s="41"/>
      <c r="H139" s="45"/>
    </row>
    <row r="140" spans="1:8" s="9" customFormat="1" ht="20.25">
      <c r="A140" s="186"/>
      <c r="B140" s="192" t="s">
        <v>496</v>
      </c>
      <c r="C140" s="10"/>
      <c r="D140" s="175"/>
      <c r="E140" s="428"/>
      <c r="F140" s="162"/>
      <c r="G140" s="41"/>
      <c r="H140" s="45"/>
    </row>
    <row r="141" spans="1:8" s="9" customFormat="1" ht="20.25">
      <c r="A141" s="186"/>
      <c r="B141" s="192" t="s">
        <v>497</v>
      </c>
      <c r="C141" s="10"/>
      <c r="D141" s="175"/>
      <c r="E141" s="428"/>
      <c r="F141" s="162"/>
      <c r="G141" s="41"/>
      <c r="H141" s="45"/>
    </row>
    <row r="142" spans="1:8" s="9" customFormat="1" ht="41.25" thickBot="1">
      <c r="A142" s="186"/>
      <c r="B142" s="193" t="s">
        <v>498</v>
      </c>
      <c r="C142" s="11"/>
      <c r="D142" s="176"/>
      <c r="E142" s="427"/>
      <c r="F142" s="163"/>
      <c r="G142" s="41"/>
      <c r="H142" s="45"/>
    </row>
    <row r="143" spans="1:8" s="94" customFormat="1" ht="20.25">
      <c r="A143" s="505">
        <v>7.2</v>
      </c>
      <c r="B143" s="451" t="s">
        <v>499</v>
      </c>
      <c r="C143" s="452">
        <v>2.5</v>
      </c>
      <c r="D143" s="453" t="str">
        <f>IF(OR((ISERROR(SUM(D144:D148))="True"),(COUNT(D144:D148)=0)),"Auto-calculate",SUM(D144:D148))</f>
        <v>Auto-calculate</v>
      </c>
      <c r="E143" s="454" t="str">
        <f>IF(OR((ISERROR(D143)="True"),(D143="Auto-calculate")),"Auto-calculate",IF((D143=5),2.5,IF((D143=4),2,IF((D143=3),1.5,IF((D143=2),1,IF(OR((D143=0),(D143=1)),0.5))))))</f>
        <v>Auto-calculate</v>
      </c>
      <c r="F143" s="455" t="str">
        <f>IF(OR((ISERROR(E143)="True"),(E143="Auto-calculate")),"Auto-calculate",IF((E143=2.5),"ดีมาก",IF((E143=2),"ดี",IF((E143=1.5),"พอใช้",IF((E143=1),"ต้องปรับปรุง",IF((E143=0.5),"ต้องปรับปรุงเร่งด่วน"))))))</f>
        <v>Auto-calculate</v>
      </c>
      <c r="G143" s="43"/>
      <c r="H143" s="38"/>
    </row>
    <row r="144" spans="1:8" s="9" customFormat="1" ht="60.75">
      <c r="A144" s="186"/>
      <c r="B144" s="417" t="s">
        <v>500</v>
      </c>
      <c r="C144" s="10"/>
      <c r="D144" s="175"/>
      <c r="E144" s="428"/>
      <c r="F144" s="162"/>
      <c r="G144" s="41"/>
      <c r="H144" s="45"/>
    </row>
    <row r="145" spans="1:8" s="9" customFormat="1" ht="20.25">
      <c r="A145" s="186"/>
      <c r="B145" s="192" t="s">
        <v>501</v>
      </c>
      <c r="C145" s="10"/>
      <c r="D145" s="175"/>
      <c r="E145" s="428"/>
      <c r="F145" s="162"/>
      <c r="G145" s="41"/>
      <c r="H145" s="45"/>
    </row>
    <row r="146" spans="1:8" s="9" customFormat="1" ht="20.25">
      <c r="A146" s="186"/>
      <c r="B146" s="192" t="s">
        <v>502</v>
      </c>
      <c r="C146" s="10"/>
      <c r="D146" s="175"/>
      <c r="E146" s="428"/>
      <c r="F146" s="162"/>
      <c r="G146" s="41"/>
      <c r="H146" s="45"/>
    </row>
    <row r="147" spans="1:8" s="9" customFormat="1" ht="20.25">
      <c r="A147" s="186"/>
      <c r="B147" s="192" t="s">
        <v>503</v>
      </c>
      <c r="C147" s="10"/>
      <c r="D147" s="175"/>
      <c r="E147" s="428"/>
      <c r="F147" s="162"/>
      <c r="G147" s="41"/>
      <c r="H147" s="45"/>
    </row>
    <row r="148" spans="1:8" s="9" customFormat="1" ht="21" thickBot="1">
      <c r="A148" s="189"/>
      <c r="B148" s="521" t="s">
        <v>504</v>
      </c>
      <c r="C148" s="522"/>
      <c r="D148" s="177"/>
      <c r="E148" s="430"/>
      <c r="F148" s="166"/>
      <c r="G148" s="41"/>
      <c r="H148" s="45"/>
    </row>
    <row r="149" spans="1:8" s="94" customFormat="1" ht="40.5">
      <c r="A149" s="505">
        <v>7.3</v>
      </c>
      <c r="B149" s="451" t="s">
        <v>505</v>
      </c>
      <c r="C149" s="452">
        <v>2.5</v>
      </c>
      <c r="D149" s="453" t="str">
        <f>IF(OR((ISERROR(SUM(D150:D153))="True"),(COUNT(D150:D153)=0)),"Auto-calculate",SUM(D150:D153))</f>
        <v>Auto-calculate</v>
      </c>
      <c r="E149" s="454" t="str">
        <f>IF(OR((ISERROR(D149)="True"),(D149="Auto-calculate")),"Auto-calculate",IF((D149=4),2.5,IF((D149=3),2,IF((D149=2),1.5,IF((D149=1),1,IF((D149=0),0.5))))))</f>
        <v>Auto-calculate</v>
      </c>
      <c r="F149" s="455" t="str">
        <f>IF(OR((ISERROR(E149)="True"),(E149="Auto-calculate")),"Auto-calculate",IF((E149=2.5),"ดีมาก",IF((E149=2),"ดี",IF((E149=1.5),"พอใช้",IF((E149=1),"ต้องปรับปรุง",IF((E149=0.5),"ต้องปรับปรุงเร่งด่วน"))))))</f>
        <v>Auto-calculate</v>
      </c>
      <c r="G149" s="43"/>
      <c r="H149" s="38">
        <f>IF(OR((E149="Auto-Calculate"),(COUNT(D150:D153)&lt;5)),"",VLOOKUP(E149,'เกณฑ์ประเมิน-ประถม&amp;มัธยม'!B60:C63,2,0))</f>
      </c>
    </row>
    <row r="150" spans="1:8" s="9" customFormat="1" ht="40.5">
      <c r="A150" s="186"/>
      <c r="B150" s="417" t="s">
        <v>506</v>
      </c>
      <c r="C150" s="10"/>
      <c r="D150" s="175"/>
      <c r="E150" s="428"/>
      <c r="F150" s="162"/>
      <c r="G150" s="41"/>
      <c r="H150" s="45"/>
    </row>
    <row r="151" spans="1:8" s="9" customFormat="1" ht="40.5">
      <c r="A151" s="186"/>
      <c r="B151" s="192" t="s">
        <v>507</v>
      </c>
      <c r="C151" s="10"/>
      <c r="D151" s="175"/>
      <c r="E151" s="428"/>
      <c r="F151" s="162"/>
      <c r="G151" s="41"/>
      <c r="H151" s="45"/>
    </row>
    <row r="152" spans="1:8" s="9" customFormat="1" ht="40.5">
      <c r="A152" s="186"/>
      <c r="B152" s="192" t="s">
        <v>508</v>
      </c>
      <c r="C152" s="10"/>
      <c r="D152" s="175"/>
      <c r="E152" s="428"/>
      <c r="F152" s="162"/>
      <c r="G152" s="41"/>
      <c r="H152" s="45"/>
    </row>
    <row r="153" spans="1:8" s="9" customFormat="1" ht="41.25" thickBot="1">
      <c r="A153" s="186"/>
      <c r="B153" s="192" t="s">
        <v>509</v>
      </c>
      <c r="C153" s="10"/>
      <c r="D153" s="175"/>
      <c r="E153" s="428"/>
      <c r="F153" s="162"/>
      <c r="G153" s="41"/>
      <c r="H153" s="45"/>
    </row>
    <row r="154" spans="1:8" s="94" customFormat="1" ht="40.5">
      <c r="A154" s="505">
        <v>7.4</v>
      </c>
      <c r="B154" s="451" t="s">
        <v>510</v>
      </c>
      <c r="C154" s="452">
        <v>2.5</v>
      </c>
      <c r="D154" s="453" t="str">
        <f>IF(OR((ISERROR(SUM(D155:D162))="True"),(COUNT(D155:D162)=0)),"Auto-calculate",SUM(D155:D162))</f>
        <v>Auto-calculate</v>
      </c>
      <c r="E154" s="454" t="str">
        <f>IF(OR((ISERROR(D154)="True"),(D154="Auto-calculate")),"Auto-calculate",IF((D154=8),2.5,IF((D154=7),2,IF((D154=6),1.5,IF(OR((D154=4),(D154=5)),1,IF(,(D154&lt;=3),0.5))))))</f>
        <v>Auto-calculate</v>
      </c>
      <c r="F154" s="455" t="str">
        <f>IF(OR((ISERROR(E154)="True"),(E154="Auto-calculate")),"Auto-calculate",IF((E154=2.5),"ดีมาก",IF((E154=2),"ดี",IF((E154=1.5),"พอใช้",IF((E154=1),"ต้องปรับปรุง",IF((E154=0.5),"ต้องปรับปรุงเร่งด่วน"))))))</f>
        <v>Auto-calculate</v>
      </c>
      <c r="G154" s="43"/>
      <c r="H154" s="38"/>
    </row>
    <row r="155" spans="1:8" s="9" customFormat="1" ht="48" customHeight="1">
      <c r="A155" s="186"/>
      <c r="B155" s="417" t="s">
        <v>511</v>
      </c>
      <c r="C155" s="10"/>
      <c r="D155" s="175"/>
      <c r="E155" s="428"/>
      <c r="F155" s="162"/>
      <c r="G155" s="41"/>
      <c r="H155" s="45"/>
    </row>
    <row r="156" spans="1:8" s="9" customFormat="1" ht="60.75">
      <c r="A156" s="186"/>
      <c r="B156" s="192" t="s">
        <v>512</v>
      </c>
      <c r="C156" s="10"/>
      <c r="D156" s="175"/>
      <c r="E156" s="428"/>
      <c r="F156" s="162"/>
      <c r="G156" s="41"/>
      <c r="H156" s="45"/>
    </row>
    <row r="157" spans="1:8" s="9" customFormat="1" ht="27.75" customHeight="1">
      <c r="A157" s="186"/>
      <c r="B157" s="192" t="s">
        <v>513</v>
      </c>
      <c r="C157" s="10"/>
      <c r="D157" s="175"/>
      <c r="E157" s="428"/>
      <c r="F157" s="162"/>
      <c r="G157" s="41"/>
      <c r="H157" s="45"/>
    </row>
    <row r="158" spans="1:8" s="9" customFormat="1" ht="27.75" customHeight="1">
      <c r="A158" s="186"/>
      <c r="B158" s="192" t="s">
        <v>560</v>
      </c>
      <c r="C158" s="10"/>
      <c r="D158" s="175"/>
      <c r="E158" s="428"/>
      <c r="F158" s="162"/>
      <c r="G158" s="41"/>
      <c r="H158" s="45"/>
    </row>
    <row r="159" spans="1:8" s="9" customFormat="1" ht="27.75" customHeight="1">
      <c r="A159" s="186"/>
      <c r="B159" s="192" t="s">
        <v>561</v>
      </c>
      <c r="C159" s="10"/>
      <c r="D159" s="175"/>
      <c r="E159" s="428"/>
      <c r="F159" s="162"/>
      <c r="G159" s="41"/>
      <c r="H159" s="45"/>
    </row>
    <row r="160" spans="1:8" s="9" customFormat="1" ht="27.75" customHeight="1">
      <c r="A160" s="186"/>
      <c r="B160" s="192" t="s">
        <v>562</v>
      </c>
      <c r="C160" s="10"/>
      <c r="D160" s="175"/>
      <c r="E160" s="428"/>
      <c r="F160" s="162"/>
      <c r="G160" s="41"/>
      <c r="H160" s="45"/>
    </row>
    <row r="161" spans="1:8" s="9" customFormat="1" ht="40.5">
      <c r="A161" s="186"/>
      <c r="B161" s="192" t="s">
        <v>563</v>
      </c>
      <c r="C161" s="10"/>
      <c r="D161" s="175"/>
      <c r="E161" s="428"/>
      <c r="F161" s="162"/>
      <c r="G161" s="41"/>
      <c r="H161" s="45"/>
    </row>
    <row r="162" spans="1:8" s="9" customFormat="1" ht="41.25" thickBot="1">
      <c r="A162" s="189"/>
      <c r="B162" s="521" t="s">
        <v>564</v>
      </c>
      <c r="C162" s="522"/>
      <c r="D162" s="177"/>
      <c r="E162" s="430"/>
      <c r="F162" s="166"/>
      <c r="G162" s="41"/>
      <c r="H162" s="45"/>
    </row>
    <row r="163" spans="1:8" s="94" customFormat="1" ht="40.5">
      <c r="A163" s="505">
        <v>7.5</v>
      </c>
      <c r="B163" s="451" t="s">
        <v>510</v>
      </c>
      <c r="C163" s="452">
        <v>2.5</v>
      </c>
      <c r="D163" s="453" t="str">
        <f>IF(OR((ISERROR(SUM(D164:D175))="True"),(COUNT(D164:D175)=0)),"Auto-calculate",SUM(D164:D175))</f>
        <v>Auto-calculate</v>
      </c>
      <c r="E163" s="454" t="str">
        <f>IF(OR((ISERROR(D163)="True"),(D163="Auto-calculate")),"Auto-calculate",IF((D163=12),2.5,IF((D163=11),2,IF(OR((D163=9),(D163=10)),1.5,IF(AND((D163&gt;=6),(D163&lt;=8)),1,IF(AND((D163&gt;=0),(D163&lt;=5)),0.5))))))</f>
        <v>Auto-calculate</v>
      </c>
      <c r="F163" s="455" t="str">
        <f>IF(OR((ISERROR(E163)="True"),(E163="Auto-calculate")),"Auto-calculate",IF((E163=2.5),"ดีมาก",IF((E163=2),"ดี",IF((E163=1.5),"พอใช้",IF((E163=1),"ต้องปรับปรุง",IF((E163=0.5),"ต้องปรับปรุงเร่งด่วน"))))))</f>
        <v>Auto-calculate</v>
      </c>
      <c r="G163" s="43"/>
      <c r="H163" s="38"/>
    </row>
    <row r="164" spans="1:8" s="9" customFormat="1" ht="60.75">
      <c r="A164" s="186"/>
      <c r="B164" s="417" t="s">
        <v>565</v>
      </c>
      <c r="C164" s="10"/>
      <c r="D164" s="175"/>
      <c r="E164" s="428"/>
      <c r="F164" s="162"/>
      <c r="G164" s="41"/>
      <c r="H164" s="45"/>
    </row>
    <row r="165" spans="1:8" s="9" customFormat="1" ht="60.75">
      <c r="A165" s="186"/>
      <c r="B165" s="192" t="s">
        <v>566</v>
      </c>
      <c r="C165" s="10"/>
      <c r="D165" s="175"/>
      <c r="E165" s="428"/>
      <c r="F165" s="162"/>
      <c r="G165" s="41"/>
      <c r="H165" s="45"/>
    </row>
    <row r="166" spans="1:8" s="9" customFormat="1" ht="40.5">
      <c r="A166" s="186"/>
      <c r="B166" s="192" t="s">
        <v>567</v>
      </c>
      <c r="C166" s="10"/>
      <c r="D166" s="175"/>
      <c r="E166" s="428"/>
      <c r="F166" s="162"/>
      <c r="G166" s="41"/>
      <c r="H166" s="45"/>
    </row>
    <row r="167" spans="1:8" s="9" customFormat="1" ht="27.75" customHeight="1">
      <c r="A167" s="186"/>
      <c r="B167" s="192" t="s">
        <v>568</v>
      </c>
      <c r="C167" s="10"/>
      <c r="D167" s="175"/>
      <c r="E167" s="428"/>
      <c r="F167" s="162"/>
      <c r="G167" s="41"/>
      <c r="H167" s="45"/>
    </row>
    <row r="168" spans="1:8" s="9" customFormat="1" ht="40.5">
      <c r="A168" s="186"/>
      <c r="B168" s="192" t="s">
        <v>569</v>
      </c>
      <c r="C168" s="10"/>
      <c r="D168" s="175"/>
      <c r="E168" s="428"/>
      <c r="F168" s="162"/>
      <c r="G168" s="41"/>
      <c r="H168" s="45"/>
    </row>
    <row r="169" spans="1:8" s="9" customFormat="1" ht="27.75" customHeight="1">
      <c r="A169" s="186"/>
      <c r="B169" s="417" t="s">
        <v>570</v>
      </c>
      <c r="C169" s="10"/>
      <c r="D169" s="175"/>
      <c r="E169" s="428"/>
      <c r="F169" s="162"/>
      <c r="G169" s="41"/>
      <c r="H169" s="45"/>
    </row>
    <row r="170" spans="1:8" s="9" customFormat="1" ht="60.75">
      <c r="A170" s="186"/>
      <c r="B170" s="192" t="s">
        <v>571</v>
      </c>
      <c r="C170" s="10"/>
      <c r="D170" s="175"/>
      <c r="E170" s="428"/>
      <c r="F170" s="162"/>
      <c r="G170" s="41"/>
      <c r="H170" s="45"/>
    </row>
    <row r="171" spans="1:8" s="9" customFormat="1" ht="48" customHeight="1">
      <c r="A171" s="186"/>
      <c r="B171" s="192" t="s">
        <v>572</v>
      </c>
      <c r="C171" s="10"/>
      <c r="D171" s="175"/>
      <c r="E171" s="428"/>
      <c r="F171" s="162"/>
      <c r="G171" s="41"/>
      <c r="H171" s="45"/>
    </row>
    <row r="172" spans="1:8" s="9" customFormat="1" ht="40.5">
      <c r="A172" s="186"/>
      <c r="B172" s="192" t="s">
        <v>573</v>
      </c>
      <c r="C172" s="10"/>
      <c r="D172" s="175"/>
      <c r="E172" s="428"/>
      <c r="F172" s="162"/>
      <c r="G172" s="41"/>
      <c r="H172" s="45"/>
    </row>
    <row r="173" spans="1:8" s="9" customFormat="1" ht="60.75">
      <c r="A173" s="186"/>
      <c r="B173" s="192" t="s">
        <v>574</v>
      </c>
      <c r="C173" s="10"/>
      <c r="D173" s="175"/>
      <c r="E173" s="428"/>
      <c r="F173" s="162"/>
      <c r="G173" s="41"/>
      <c r="H173" s="45"/>
    </row>
    <row r="174" spans="1:8" s="9" customFormat="1" ht="60.75">
      <c r="A174" s="186"/>
      <c r="B174" s="192" t="s">
        <v>575</v>
      </c>
      <c r="C174" s="10"/>
      <c r="D174" s="175"/>
      <c r="E174" s="428"/>
      <c r="F174" s="162"/>
      <c r="G174" s="41"/>
      <c r="H174" s="45"/>
    </row>
    <row r="175" spans="1:8" s="9" customFormat="1" ht="41.25" thickBot="1">
      <c r="A175" s="186"/>
      <c r="B175" s="192" t="s">
        <v>576</v>
      </c>
      <c r="C175" s="10"/>
      <c r="D175" s="175"/>
      <c r="E175" s="428"/>
      <c r="F175" s="162"/>
      <c r="G175" s="41"/>
      <c r="H175" s="45"/>
    </row>
    <row r="176" spans="1:8" s="94" customFormat="1" ht="40.5">
      <c r="A176" s="505">
        <v>7.6</v>
      </c>
      <c r="B176" s="451" t="s">
        <v>577</v>
      </c>
      <c r="C176" s="452">
        <v>2.5</v>
      </c>
      <c r="D176" s="453" t="str">
        <f>IF(OR((ISERROR(SUM(D177:D181))="True"),(COUNT(D177:D181)=0)),"Auto-calculate",SUM(D177:D181))</f>
        <v>Auto-calculate</v>
      </c>
      <c r="E176" s="454" t="str">
        <f>IF(OR((ISERROR(D176)="True"),(D176="Auto-calculate")),"Auto-calculate",IF((D176=5),2.5,IF((D176=4),2,IF((D176=3),1.5,IF((D176=2),1,IF(OR((D176=0),(D176=1)),0.5))))))</f>
        <v>Auto-calculate</v>
      </c>
      <c r="F176" s="455" t="str">
        <f>IF(OR((ISERROR(E176)="True"),(E176="Auto-calculate")),"Auto-calculate",IF((E176=2.5),"ดีมาก",IF((E176=2),"ดี",IF((E176=1.5),"พอใช้",IF((E176=1),"ต้องปรับปรุง",IF((E176=0.5),"ต้องปรับปรุงเร่งด่วน"))))))</f>
        <v>Auto-calculate</v>
      </c>
      <c r="G176" s="43"/>
      <c r="H176" s="38"/>
    </row>
    <row r="177" spans="1:8" s="9" customFormat="1" ht="40.5">
      <c r="A177" s="186"/>
      <c r="B177" s="417" t="s">
        <v>578</v>
      </c>
      <c r="C177" s="10"/>
      <c r="D177" s="175"/>
      <c r="E177" s="428"/>
      <c r="F177" s="162"/>
      <c r="G177" s="41"/>
      <c r="H177" s="45"/>
    </row>
    <row r="178" spans="1:8" s="9" customFormat="1" ht="40.5">
      <c r="A178" s="186"/>
      <c r="B178" s="192" t="s">
        <v>579</v>
      </c>
      <c r="C178" s="10"/>
      <c r="D178" s="175"/>
      <c r="E178" s="428"/>
      <c r="F178" s="162"/>
      <c r="G178" s="41"/>
      <c r="H178" s="45"/>
    </row>
    <row r="179" spans="1:8" s="9" customFormat="1" ht="60.75">
      <c r="A179" s="186"/>
      <c r="B179" s="192" t="s">
        <v>580</v>
      </c>
      <c r="C179" s="10"/>
      <c r="D179" s="175"/>
      <c r="E179" s="428"/>
      <c r="F179" s="162"/>
      <c r="G179" s="41"/>
      <c r="H179" s="45"/>
    </row>
    <row r="180" spans="1:8" s="9" customFormat="1" ht="20.25">
      <c r="A180" s="186"/>
      <c r="B180" s="192" t="s">
        <v>581</v>
      </c>
      <c r="C180" s="10"/>
      <c r="D180" s="175"/>
      <c r="E180" s="428"/>
      <c r="F180" s="162"/>
      <c r="G180" s="41"/>
      <c r="H180" s="45"/>
    </row>
    <row r="181" spans="1:8" s="9" customFormat="1" ht="41.25" thickBot="1">
      <c r="A181" s="189"/>
      <c r="B181" s="521" t="s">
        <v>582</v>
      </c>
      <c r="C181" s="522"/>
      <c r="D181" s="177"/>
      <c r="E181" s="430"/>
      <c r="F181" s="166"/>
      <c r="G181" s="41"/>
      <c r="H181" s="45"/>
    </row>
    <row r="182" spans="1:7" s="94" customFormat="1" ht="21">
      <c r="A182" s="657" t="s">
        <v>891</v>
      </c>
      <c r="B182" s="516" t="s">
        <v>583</v>
      </c>
      <c r="C182" s="456">
        <v>5</v>
      </c>
      <c r="D182" s="453"/>
      <c r="E182" s="457" t="str">
        <f>IF(OR(ISERROR(COUNT(E183,E189)=0),(COUNT(E183,E189)=0)),"Auto-calculate",IF(COUNT(E183,E189)=2,"คุณต้องเลือกป้อนข้อมูลข้อ 8.1 หรือ 8.2                                            ",SUM(E183,E189)))</f>
        <v>Auto-calculate</v>
      </c>
      <c r="F182" s="458" t="str">
        <f>IF(OR((ISERROR(E182)="True"),(E182="Auto-calculate")),"Auto-calculate",IF((E182&gt;=4.5),"ดีมาก",IF((E182&gt;=3.75),"ดี",IF((E182&gt;=3),"พอใช้",IF((E182&gt;=2.5),"ต้องปรับปรุง",IF((E182&gt;=0),"ต้องปรับปรุงเร่งด่วน"))))))</f>
        <v>Auto-calculate</v>
      </c>
      <c r="G182" s="41"/>
    </row>
    <row r="183" spans="1:8" s="94" customFormat="1" ht="60.75" hidden="1">
      <c r="A183" s="658">
        <v>8.1</v>
      </c>
      <c r="B183" s="448" t="s">
        <v>361</v>
      </c>
      <c r="C183" s="433">
        <v>5</v>
      </c>
      <c r="D183" s="459" t="str">
        <f>IF(OR((ISERROR(SUM(D184:D188))="True"),(COUNT(D184:D188)=0)),"Auto-calculate",SUM(D184:D188))</f>
        <v>Auto-calculate</v>
      </c>
      <c r="E183" s="460" t="str">
        <f>IF(OR((ISERROR(D183)="True"),(D183="Auto-calculate")),"Auto-calculate",IF((D183=5),5,IF((D183=4),4,IF((D183=3),3,IF((D183=2),2,IF(OR((D183=0),(D183=1)),1))))))</f>
        <v>Auto-calculate</v>
      </c>
      <c r="F183" s="647"/>
      <c r="G183" s="43"/>
      <c r="H183" s="38">
        <f>IF(OR((E183="Auto-Calculate"),(COUNT(D184:D188)&lt;5)),"",VLOOKUP(E183,'เกณฑ์ประเมิน-ประถม&amp;มัธยม'!B93:C97,2,0))</f>
      </c>
    </row>
    <row r="184" spans="1:8" s="9" customFormat="1" ht="60.75" hidden="1">
      <c r="A184" s="224"/>
      <c r="B184" s="417" t="s">
        <v>362</v>
      </c>
      <c r="C184" s="10"/>
      <c r="D184" s="175"/>
      <c r="E184" s="428"/>
      <c r="F184" s="162"/>
      <c r="G184" s="41"/>
      <c r="H184" s="45"/>
    </row>
    <row r="185" spans="1:8" s="9" customFormat="1" ht="40.5" hidden="1">
      <c r="A185" s="224"/>
      <c r="B185" s="192" t="s">
        <v>363</v>
      </c>
      <c r="C185" s="10"/>
      <c r="D185" s="175"/>
      <c r="E185" s="428"/>
      <c r="F185" s="162"/>
      <c r="G185" s="41"/>
      <c r="H185" s="45"/>
    </row>
    <row r="186" spans="1:8" s="9" customFormat="1" ht="40.5" hidden="1">
      <c r="A186" s="224"/>
      <c r="B186" s="192" t="s">
        <v>364</v>
      </c>
      <c r="C186" s="10"/>
      <c r="D186" s="175"/>
      <c r="E186" s="428"/>
      <c r="F186" s="162"/>
      <c r="G186" s="41"/>
      <c r="H186" s="45"/>
    </row>
    <row r="187" spans="1:8" s="9" customFormat="1" ht="68.25" customHeight="1" hidden="1">
      <c r="A187" s="224"/>
      <c r="B187" s="192" t="s">
        <v>365</v>
      </c>
      <c r="C187" s="10"/>
      <c r="D187" s="175"/>
      <c r="E187" s="428"/>
      <c r="F187" s="162"/>
      <c r="G187" s="41"/>
      <c r="H187" s="45"/>
    </row>
    <row r="188" spans="1:8" s="9" customFormat="1" ht="40.5" hidden="1">
      <c r="A188" s="224"/>
      <c r="B188" s="192" t="s">
        <v>366</v>
      </c>
      <c r="C188" s="10"/>
      <c r="D188" s="175"/>
      <c r="E188" s="428"/>
      <c r="F188" s="162"/>
      <c r="G188" s="41"/>
      <c r="H188" s="45"/>
    </row>
    <row r="189" spans="1:8" s="94" customFormat="1" ht="60.75">
      <c r="A189" s="658"/>
      <c r="B189" s="653" t="s">
        <v>367</v>
      </c>
      <c r="C189" s="627">
        <v>5</v>
      </c>
      <c r="D189" s="654"/>
      <c r="E189" s="655" t="str">
        <f>IF(OR(ISERROR(SUM(E190:E191)="True"),(COUNT(E190:E191)=0)),"Auto-calculate",SUM(E190:E191))</f>
        <v>Auto-calculate</v>
      </c>
      <c r="F189" s="656" t="str">
        <f>IF(OR((ISERROR(E189)="True"),(E189="Auto-calculate")),"Auto-calculate",IF((E189&gt;=4.5),"ดีมาก",IF((E189&gt;=3.75),"ดี",IF((E189&gt;=3),"พอใช้",IF((E189&gt;=2.5),"ต้องปรับปรุง",IF((E189&gt;=0),"ต้องปรับปรุงเร่งด่วน"))))))</f>
        <v>Auto-calculate</v>
      </c>
      <c r="G189" s="43"/>
      <c r="H189" s="38"/>
    </row>
    <row r="190" spans="1:8" s="19" customFormat="1" ht="60.75">
      <c r="A190" s="188"/>
      <c r="B190" s="659" t="s">
        <v>374</v>
      </c>
      <c r="C190" s="629">
        <v>2.5</v>
      </c>
      <c r="D190" s="519"/>
      <c r="E190" s="621" t="str">
        <f>IF(OR((ISERROR(D190)="True"),(D190="")),"Auto-calculate",ROUND(D190/5*2.5,2))</f>
        <v>Auto-calculate</v>
      </c>
      <c r="F190" s="660"/>
      <c r="G190" s="41"/>
      <c r="H190" s="94"/>
    </row>
    <row r="191" spans="1:8" s="19" customFormat="1" ht="40.5">
      <c r="A191" s="185"/>
      <c r="B191" s="626" t="s">
        <v>933</v>
      </c>
      <c r="C191" s="627">
        <v>2.5</v>
      </c>
      <c r="D191" s="176" t="str">
        <f>IF(OR((ISERROR(SUM(D192:D199))="True"),(COUNT(D192:D199)=0)),"Auto-calculate",SUM(D192:D199))</f>
        <v>Auto-calculate</v>
      </c>
      <c r="E191" s="628" t="str">
        <f>IF(OR((ISERROR(D191)="True"),(D191="Auto-calculate")),"Auto-calculate",IF((D191=8),2.5,IF((D191&gt;=5),1.25,IF((D191&gt;=0),0,0))))</f>
        <v>Auto-calculate</v>
      </c>
      <c r="F191" s="650"/>
      <c r="G191" s="41"/>
      <c r="H191" s="38">
        <f>IF(OR((E191="Auto-Calculate"),(COUNT(D191)&lt;1)),"",VLOOKUP(E191,'เกณฑ์ประเมิน-ปฐมวัย'!B2:C4,2,0))</f>
      </c>
    </row>
    <row r="192" spans="1:8" s="19" customFormat="1" ht="60.75">
      <c r="A192" s="185"/>
      <c r="B192" s="418" t="s">
        <v>937</v>
      </c>
      <c r="C192" s="629"/>
      <c r="D192" s="175"/>
      <c r="E192" s="621"/>
      <c r="F192" s="162"/>
      <c r="G192" s="41"/>
      <c r="H192" s="38"/>
    </row>
    <row r="193" spans="1:8" s="19" customFormat="1" ht="40.5">
      <c r="A193" s="185"/>
      <c r="B193" s="418" t="s">
        <v>938</v>
      </c>
      <c r="C193" s="629"/>
      <c r="D193" s="175"/>
      <c r="E193" s="621"/>
      <c r="F193" s="162"/>
      <c r="G193" s="41"/>
      <c r="H193" s="38"/>
    </row>
    <row r="194" spans="1:8" s="19" customFormat="1" ht="20.25">
      <c r="A194" s="185"/>
      <c r="B194" s="418" t="s">
        <v>939</v>
      </c>
      <c r="C194" s="629"/>
      <c r="D194" s="175"/>
      <c r="E194" s="621"/>
      <c r="F194" s="162"/>
      <c r="G194" s="41"/>
      <c r="H194" s="38"/>
    </row>
    <row r="195" spans="1:8" s="19" customFormat="1" ht="20.25">
      <c r="A195" s="185"/>
      <c r="B195" s="418" t="s">
        <v>940</v>
      </c>
      <c r="C195" s="629"/>
      <c r="D195" s="175"/>
      <c r="E195" s="621"/>
      <c r="F195" s="162"/>
      <c r="G195" s="41"/>
      <c r="H195" s="38"/>
    </row>
    <row r="196" spans="1:8" s="19" customFormat="1" ht="20.25">
      <c r="A196" s="185"/>
      <c r="B196" s="418" t="s">
        <v>941</v>
      </c>
      <c r="C196" s="629"/>
      <c r="D196" s="175"/>
      <c r="E196" s="621"/>
      <c r="F196" s="162"/>
      <c r="G196" s="41"/>
      <c r="H196" s="38"/>
    </row>
    <row r="197" spans="1:8" s="19" customFormat="1" ht="40.5">
      <c r="A197" s="185"/>
      <c r="B197" s="418" t="s">
        <v>942</v>
      </c>
      <c r="C197" s="629"/>
      <c r="D197" s="175"/>
      <c r="E197" s="621"/>
      <c r="F197" s="162"/>
      <c r="G197" s="41"/>
      <c r="H197" s="38"/>
    </row>
    <row r="198" spans="1:8" s="19" customFormat="1" ht="20.25">
      <c r="A198" s="185"/>
      <c r="B198" s="418" t="s">
        <v>943</v>
      </c>
      <c r="C198" s="629"/>
      <c r="D198" s="175"/>
      <c r="E198" s="621"/>
      <c r="F198" s="162"/>
      <c r="G198" s="41"/>
      <c r="H198" s="38"/>
    </row>
    <row r="199" spans="1:8" s="19" customFormat="1" ht="21" thickBot="1">
      <c r="A199" s="508"/>
      <c r="B199" s="419" t="s">
        <v>944</v>
      </c>
      <c r="C199" s="421"/>
      <c r="D199" s="177"/>
      <c r="E199" s="204"/>
      <c r="F199" s="166"/>
      <c r="G199" s="41"/>
      <c r="H199" s="38"/>
    </row>
    <row r="200" spans="1:8" s="94" customFormat="1" ht="42">
      <c r="A200" s="507" t="s">
        <v>893</v>
      </c>
      <c r="B200" s="517" t="s">
        <v>368</v>
      </c>
      <c r="C200" s="447">
        <v>2.5</v>
      </c>
      <c r="D200" s="461" t="str">
        <f>IF(OR((ISERROR(SUM(D201:D205))="True"),(COUNT(D201:D205)=0)),"Auto-calculate",SUM(D201:D205))</f>
        <v>Auto-calculate</v>
      </c>
      <c r="E200" s="462" t="str">
        <f>IF(OR((ISERROR(D200)="True"),(D200="Auto-calculate")),"Auto-calculate",IF((D200=5),2.5,IF((D200=4),2,IF((D200=3),1.5,IF((D200=2),1,IF((D200=1),0.5,0))))))</f>
        <v>Auto-calculate</v>
      </c>
      <c r="F200" s="463" t="str">
        <f>IF(OR((ISERROR(E200)="True"),(E200="Auto-calculate")),"Auto-calculate",IF((E200=2.5),"ดีมาก",IF((E200=2),"ดี",IF((E200=1.5),"พอใช้",IF((E200=1),"ต้องปรับปรุง",IF(OR((E200=0),(E200=0.5)),"ต้องปรับปรุงเร่งด่วน"))))))</f>
        <v>Auto-calculate</v>
      </c>
      <c r="G200" s="41"/>
      <c r="H200" s="38">
        <f>IF(OR((E200="Auto-Calculate"),(COUNT(D200)&lt;1)),"",VLOOKUP(E200,'เกณฑ์ประเมิน-ปฐมวัย'!B7:C12,2,0))</f>
      </c>
    </row>
    <row r="201" spans="1:8" s="9" customFormat="1" ht="81">
      <c r="A201" s="186"/>
      <c r="B201" s="418" t="s">
        <v>945</v>
      </c>
      <c r="C201" s="29"/>
      <c r="D201" s="175"/>
      <c r="E201" s="429"/>
      <c r="F201" s="165"/>
      <c r="G201" s="41"/>
      <c r="H201" s="38"/>
    </row>
    <row r="202" spans="1:8" s="9" customFormat="1" ht="60.75">
      <c r="A202" s="186"/>
      <c r="B202" s="418" t="s">
        <v>946</v>
      </c>
      <c r="C202" s="29"/>
      <c r="D202" s="175"/>
      <c r="E202" s="428"/>
      <c r="F202" s="162"/>
      <c r="G202" s="41"/>
      <c r="H202" s="45"/>
    </row>
    <row r="203" spans="1:8" s="9" customFormat="1" ht="60.75">
      <c r="A203" s="186"/>
      <c r="B203" s="418" t="s">
        <v>947</v>
      </c>
      <c r="C203" s="29"/>
      <c r="D203" s="175"/>
      <c r="E203" s="428"/>
      <c r="F203" s="162"/>
      <c r="G203" s="41"/>
      <c r="H203" s="45"/>
    </row>
    <row r="204" spans="1:8" s="9" customFormat="1" ht="40.5">
      <c r="A204" s="186"/>
      <c r="B204" s="418" t="s">
        <v>949</v>
      </c>
      <c r="C204" s="29"/>
      <c r="D204" s="175"/>
      <c r="E204" s="428"/>
      <c r="F204" s="162"/>
      <c r="G204" s="41"/>
      <c r="H204" s="45"/>
    </row>
    <row r="205" spans="1:8" s="9" customFormat="1" ht="41.25" thickBot="1">
      <c r="A205" s="189"/>
      <c r="B205" s="419" t="s">
        <v>948</v>
      </c>
      <c r="C205" s="104"/>
      <c r="D205" s="177"/>
      <c r="E205" s="430"/>
      <c r="F205" s="166"/>
      <c r="G205" s="41"/>
      <c r="H205" s="45"/>
    </row>
    <row r="206" spans="1:8" s="94" customFormat="1" ht="42">
      <c r="A206" s="507" t="s">
        <v>759</v>
      </c>
      <c r="B206" s="517" t="s">
        <v>660</v>
      </c>
      <c r="C206" s="464">
        <v>2.5</v>
      </c>
      <c r="D206" s="461" t="str">
        <f>IF(OR((ISERROR(SUM(D207:D211))="True"),(COUNT(D207:D211)=0)),"Auto-calculate",SUM(D207:D211))</f>
        <v>Auto-calculate</v>
      </c>
      <c r="E206" s="462" t="str">
        <f>IF(OR((ISERROR(D206)="True"),(D206="Auto-calculate")),"Auto-calculate",IF((D206=5),2.5,IF((D206=4),2,IF((D206=3),1.5,IF((D206=2),1,IF((D206=1),0.5,0))))))</f>
        <v>Auto-calculate</v>
      </c>
      <c r="F206" s="463" t="str">
        <f>IF(OR((ISERROR(E206)="True"),(E206="Auto-calculate")),"Auto-calculate",IF((E206=2.5),"ดีมาก",IF((E206=2),"ดี",IF((E206=1.5),"พอใช้",IF((E206=1),"ต้องปรับปรุง",IF(OR((E206=0),(E206=0.5)),"ต้องปรับปรุงเร่งด่วน"))))))</f>
        <v>Auto-calculate</v>
      </c>
      <c r="G206" s="41"/>
      <c r="H206" s="38">
        <f>IF(OR((E206="Auto-Calculate"),(COUNT(D206)&lt;1)),"",VLOOKUP(E206,'เกณฑ์ประเมิน-ปฐมวัย'!B15:C20,2,0))</f>
      </c>
    </row>
    <row r="207" spans="1:8" s="9" customFormat="1" ht="60.75">
      <c r="A207" s="186"/>
      <c r="B207" s="418" t="s">
        <v>950</v>
      </c>
      <c r="C207" s="29"/>
      <c r="D207" s="175"/>
      <c r="E207" s="429"/>
      <c r="F207" s="165"/>
      <c r="G207" s="41"/>
      <c r="H207" s="38"/>
    </row>
    <row r="208" spans="1:8" s="9" customFormat="1" ht="60.75">
      <c r="A208" s="186"/>
      <c r="B208" s="418" t="s">
        <v>951</v>
      </c>
      <c r="C208" s="29"/>
      <c r="D208" s="175"/>
      <c r="E208" s="428"/>
      <c r="F208" s="162"/>
      <c r="G208" s="41"/>
      <c r="H208" s="45"/>
    </row>
    <row r="209" spans="1:8" s="9" customFormat="1" ht="60.75">
      <c r="A209" s="186"/>
      <c r="B209" s="418" t="s">
        <v>1026</v>
      </c>
      <c r="C209" s="29"/>
      <c r="D209" s="175"/>
      <c r="E209" s="428"/>
      <c r="F209" s="162"/>
      <c r="G209" s="41"/>
      <c r="H209" s="45"/>
    </row>
    <row r="210" spans="1:8" s="9" customFormat="1" ht="40.5">
      <c r="A210" s="186"/>
      <c r="B210" s="418" t="s">
        <v>1024</v>
      </c>
      <c r="C210" s="29"/>
      <c r="D210" s="175"/>
      <c r="E210" s="428"/>
      <c r="F210" s="162"/>
      <c r="G210" s="41"/>
      <c r="H210" s="45"/>
    </row>
    <row r="211" spans="1:8" s="9" customFormat="1" ht="41.25" thickBot="1">
      <c r="A211" s="189"/>
      <c r="B211" s="419" t="s">
        <v>1025</v>
      </c>
      <c r="C211" s="104"/>
      <c r="D211" s="175"/>
      <c r="E211" s="430"/>
      <c r="F211" s="166"/>
      <c r="G211" s="41"/>
      <c r="H211" s="45"/>
    </row>
    <row r="212" spans="1:8" s="94" customFormat="1" ht="42">
      <c r="A212" s="507" t="s">
        <v>761</v>
      </c>
      <c r="B212" s="517" t="s">
        <v>369</v>
      </c>
      <c r="C212" s="465">
        <v>2.5</v>
      </c>
      <c r="D212" s="466"/>
      <c r="E212" s="467" t="str">
        <f>IF(OR(ISERROR(SUM(E213,E218)="True"),(COUNT(E213,E218)=0)),"Auto-calculate",SUM(E213,E218))</f>
        <v>Auto-calculate</v>
      </c>
      <c r="F212" s="442" t="str">
        <f>IF(OR((ISERROR(E212)="True"),(E212="Auto-calculate")),"Auto-calculate",IF((E212&gt;=2.25),"ดีมาก",IF((E212&gt;=1.88),"ดี",IF((E212&gt;=1.5),"พอใช้",IF((E212&gt;=1.25),"ต้องปรับปรุง",IF((E212&gt;=0),"ต้องปรับปรุงเร่งด่วน"))))))</f>
        <v>Auto-calculate</v>
      </c>
      <c r="G212" s="41"/>
      <c r="H212" s="38"/>
    </row>
    <row r="213" spans="1:8" s="19" customFormat="1" ht="21">
      <c r="A213" s="188"/>
      <c r="B213" s="518" t="s">
        <v>645</v>
      </c>
      <c r="C213" s="623">
        <v>1</v>
      </c>
      <c r="D213" s="222" t="str">
        <f>IF(OR((ISERROR(SUM(D214:D217))="True"),(COUNT(D214:D217)=0)),"Auto-calculate",SUM(D214:D217))</f>
        <v>Auto-calculate</v>
      </c>
      <c r="E213" s="431" t="str">
        <f>IF(OR((ISERROR(D213)="True"),(D213="Auto-calculate")),"Auto-calculate",IF((D213=4),1,IF((D213=3),0.75,IF((D213=2),0.5,IF((D213=1),0.25,IF((D213=0),0,0))))))</f>
        <v>Auto-calculate</v>
      </c>
      <c r="F213" s="230"/>
      <c r="G213" s="41"/>
      <c r="H213" s="38">
        <f>IF(OR((E213="Auto-Calculate"),(COUNT(D213)&lt;1)),"",VLOOKUP(E213,'เกณฑ์ประเมิน-ปฐมวัย'!B23:C27,2,0))</f>
      </c>
    </row>
    <row r="214" spans="1:8" s="9" customFormat="1" ht="20.25">
      <c r="A214" s="186"/>
      <c r="B214" s="418" t="s">
        <v>955</v>
      </c>
      <c r="C214" s="29"/>
      <c r="D214" s="175"/>
      <c r="E214" s="429"/>
      <c r="F214" s="165"/>
      <c r="G214" s="41"/>
      <c r="H214" s="38"/>
    </row>
    <row r="215" spans="1:8" s="9" customFormat="1" ht="20.25">
      <c r="A215" s="186"/>
      <c r="B215" s="418" t="s">
        <v>956</v>
      </c>
      <c r="C215" s="29"/>
      <c r="D215" s="175"/>
      <c r="E215" s="428"/>
      <c r="F215" s="162"/>
      <c r="G215" s="41"/>
      <c r="H215" s="45"/>
    </row>
    <row r="216" spans="1:8" s="9" customFormat="1" ht="20.25">
      <c r="A216" s="186"/>
      <c r="B216" s="418" t="s">
        <v>957</v>
      </c>
      <c r="C216" s="29"/>
      <c r="D216" s="175"/>
      <c r="E216" s="428"/>
      <c r="F216" s="162"/>
      <c r="G216" s="41"/>
      <c r="H216" s="45"/>
    </row>
    <row r="217" spans="1:8" s="9" customFormat="1" ht="21" thickBot="1">
      <c r="A217" s="186"/>
      <c r="B217" s="418" t="s">
        <v>958</v>
      </c>
      <c r="C217" s="29"/>
      <c r="D217" s="175"/>
      <c r="E217" s="428"/>
      <c r="F217" s="162"/>
      <c r="G217" s="41"/>
      <c r="H217" s="45"/>
    </row>
    <row r="218" spans="1:8" s="19" customFormat="1" ht="21" thickBot="1">
      <c r="A218" s="508"/>
      <c r="B218" s="226" t="s">
        <v>693</v>
      </c>
      <c r="C218" s="227">
        <v>1.5</v>
      </c>
      <c r="D218" s="228"/>
      <c r="E218" s="432" t="str">
        <f>IF(OR((ISERROR(D218)="True"),(D218="")),"Auto-calculate",D218)</f>
        <v>Auto-calculate</v>
      </c>
      <c r="F218" s="231"/>
      <c r="G218" s="41"/>
      <c r="H218" s="38">
        <f>IF(OR((E218="Auto-Calculate"),(COUNT(D218)&lt;1)),"",VLOOKUP(E218,'เกณฑ์ประเมิน-ปฐมวัย'!B30:C33,2,0))</f>
      </c>
    </row>
    <row r="219" spans="1:8" s="94" customFormat="1" ht="63">
      <c r="A219" s="507" t="s">
        <v>766</v>
      </c>
      <c r="B219" s="517" t="s">
        <v>370</v>
      </c>
      <c r="C219" s="456">
        <v>2.5</v>
      </c>
      <c r="D219" s="461" t="str">
        <f>IF(OR((ISERROR(SUM(D220:D224))="True"),(COUNT(D220:D224)=0)),"Auto-calculate",SUM(D220:D224))</f>
        <v>Auto-calculate</v>
      </c>
      <c r="E219" s="462" t="str">
        <f>IF(OR((ISERROR(D219)="True"),(D219="Auto-calculate")),"Auto-calculate",IF((D219=5),2.5,IF((D219=4),2,IF((D219=3),1.5,IF((D219=2),1,IF((D219=1),0.5,0))))))</f>
        <v>Auto-calculate</v>
      </c>
      <c r="F219" s="463" t="str">
        <f>IF(OR((ISERROR(E219)="True"),(E219="Auto-calculate")),"Auto-calculate",IF((E219=2.5),"ดีมาก",IF((E219=2),"ดี",IF((E219=1.5),"พอใช้",IF((E219=1),"ต้องปรับปรุง",IF(OR((E219=0),(E219=0.5)),"ต้องปรับปรุงเร่งด่วน"))))))</f>
        <v>Auto-calculate</v>
      </c>
      <c r="G219" s="41"/>
      <c r="H219" s="38">
        <f>IF(OR((E219="Auto-Calculate"),(COUNT(D219)&lt;1)),"",VLOOKUP(E219,'เกณฑ์ประเมิน-ปฐมวัย'!B36:C41,2,0))</f>
      </c>
    </row>
    <row r="220" spans="1:8" s="9" customFormat="1" ht="121.5">
      <c r="A220" s="186"/>
      <c r="B220" s="420" t="s">
        <v>960</v>
      </c>
      <c r="C220" s="29"/>
      <c r="D220" s="175"/>
      <c r="E220" s="429"/>
      <c r="F220" s="165"/>
      <c r="G220" s="41"/>
      <c r="H220" s="38"/>
    </row>
    <row r="221" spans="1:8" s="9" customFormat="1" ht="40.5">
      <c r="A221" s="186"/>
      <c r="B221" s="418" t="s">
        <v>961</v>
      </c>
      <c r="C221" s="29"/>
      <c r="D221" s="175"/>
      <c r="E221" s="428"/>
      <c r="F221" s="162"/>
      <c r="G221" s="41"/>
      <c r="H221" s="45"/>
    </row>
    <row r="222" spans="1:8" s="9" customFormat="1" ht="20.25">
      <c r="A222" s="186"/>
      <c r="B222" s="418" t="s">
        <v>962</v>
      </c>
      <c r="C222" s="29"/>
      <c r="D222" s="175"/>
      <c r="E222" s="428"/>
      <c r="F222" s="162"/>
      <c r="G222" s="41"/>
      <c r="H222" s="45"/>
    </row>
    <row r="223" spans="1:8" s="9" customFormat="1" ht="40.5">
      <c r="A223" s="186"/>
      <c r="B223" s="418" t="s">
        <v>963</v>
      </c>
      <c r="C223" s="29"/>
      <c r="D223" s="175"/>
      <c r="E223" s="428"/>
      <c r="F223" s="162"/>
      <c r="G223" s="41"/>
      <c r="H223" s="45"/>
    </row>
    <row r="224" spans="1:8" s="9" customFormat="1" ht="41.25" thickBot="1">
      <c r="A224" s="189"/>
      <c r="B224" s="419" t="s">
        <v>965</v>
      </c>
      <c r="C224" s="104"/>
      <c r="D224" s="177"/>
      <c r="E224" s="430"/>
      <c r="F224" s="166"/>
      <c r="G224" s="41"/>
      <c r="H224" s="45"/>
    </row>
  </sheetData>
  <sheetProtection password="D502" sheet="1"/>
  <protectedRanges>
    <protectedRange sqref="D220:D224 D207:D211 D94:D99 D101:D105 D107:D113 D115:D119 D121:D125 D201:D205 D127:D136 D139:D142 D144:D148 D150:D153 D155:D162 D164:D175 D177:D181 D190 D192:D199 D214:D218" name="ตบช.6ถึง12"/>
    <protectedRange sqref="D45:D48 D30:D34 D11:D13 D19:D24 D15:D16 D26:D27 D50:D53 D55:D56 D36:D39 D42:D43 D60:D62 D64:D66 D68:D70 D72:D74 D77:D79 D81:D83 D85:D87 D89:D91" name="ตบช.1ถึง5"/>
  </protectedRanges>
  <conditionalFormatting sqref="D220:D224 D177:D181 D201:D205 D207:D211 D214:D218 B5:B6 D94:D99 D101:D105 D107:D113 D115:D119 D121:D125 D127:D136 D139:D142 D144:D148 D150:D153 D155:D162 D164:D175 D184:D188 D190:D199 D55:D56 D50:D53 D45:D48 D42:D43 D36:D39 D30:D34 D26:D27 D19:D24 D15:D16 D11:D13 D60:D62 D64:D66 D68:D70 D72:D74 D77:D79 D81:D83 D85:D87 D89:D91">
    <cfRule type="expression" priority="4" dxfId="0" stopIfTrue="1">
      <formula>B5&lt;&gt;""</formula>
    </cfRule>
  </conditionalFormatting>
  <dataValidations count="7">
    <dataValidation operator="greaterThan" allowBlank="1" showInputMessage="1" showErrorMessage="1" sqref="E218 E206:F206 E190:E199 F40:F41 F28:F29 F17:F18 F9:F10 E75:F75 E54:F54 E49:F49 E44:F44 E41 E35:F35 E29 E25:F25 E18 E14:F14 E10 E219:F219 F137:F138 E126:G126 E163:G163 F182 E120:G120 F57:F58 E183:G183 F92:F93 G93 E100:G100 E106:G106 E114:G114 E58 E143:G143 E149:G149 E154:G154 F212 F189:G189 G138 E200:F200 E213:F213 E93 E138 E176:G176"/>
    <dataValidation type="whole" allowBlank="1" showInputMessage="1" showErrorMessage="1" errorTitle="ค่าที่คุณป้อนไม่ถูกต้อง" error="หากดำเนินการได้ตามประเด็น ป้อน 1, หากไม่สามารถดำเนินการได้ตามประเด็น ป้อน 0" sqref="D220:D224 D184:D189 D177:D182 D144:D148 D139:D142 D101:D105 D107:D113 D115:D119 D121:D125 D127:D136 D150:D153 D155:D162 D164:D175 D94:D99 D201:D205 D207:D211 D214:D217">
      <formula1>0</formula1>
      <formula2>1</formula2>
    </dataValidation>
    <dataValidation type="list" allowBlank="1" showInputMessage="1" showErrorMessage="1" errorTitle="ค่าที่ป้อนไม่ถูกต้อง" error="คะแนนพัฒนาการมีค่าได้ 0, 0.5, 1 หรือ 1.5&#10; เท่านั้น" sqref="D218">
      <formula1>"0,0.5,1,1.5"</formula1>
    </dataValidation>
    <dataValidation type="decimal" allowBlank="1" showInputMessage="1" showErrorMessage="1" errorTitle="ค่าที่คุณป้อนไม่ถูกต้อง" error="ค่าที่ป้อนเป็นค่าทศนิยมมีค่าได้ตั้งแต่ 0 ถึง 5 เท่านั้น" sqref="D190">
      <formula1>0</formula1>
      <formula2>5</formula2>
    </dataValidation>
    <dataValidation type="decimal" allowBlank="1" showInputMessage="1" showErrorMessage="1" errorTitle="ค่าที่คุณป้อนไม่ถูกต้อง" error="ค่าร้อยละมีค่าได้ตั้งแต่ 0 ถึง 100 เท่านั้น" sqref="D11:D13 D72:D74 D15:D16 D55:D56 D50:D53 D45:D48 D42:D43 D36:D39 D30:D34 D26:D27 D19:D24 D60:D62 D64:D66 D68:D70 D77:D79 D81:D83 D85:D87 D89:D91">
      <formula1>0</formula1>
      <formula2>100</formula2>
    </dataValidation>
    <dataValidation allowBlank="1" showInputMessage="1" showErrorMessage="1" errorTitle="ค่าที่ป้อนไม่ถูกต้อง" error="คะแนนพัฒนาการเป็นจำนวนเต็ม มีค่าได้ 0, 1 หรือ 2 เท่านั้น" sqref="D191"/>
    <dataValidation type="whole" allowBlank="1" showInputMessage="1" showErrorMessage="1" errorTitle="ค่าที่คุณป้อนไม่ถูกต้อง" error="หากมีพัฒนาการอย่างต่อเนื่องตามประเด็น ป้อน 1, หากไม่มีพัฒนาการอย่างต่อเนื่องตามประเด็น ป้อน 0" sqref="D192:D199">
      <formula1>0</formula1>
      <formula2>1</formula2>
    </dataValidation>
  </dataValidations>
  <printOptions/>
  <pageMargins left="0.57" right="0.26" top="0.17" bottom="0.17" header="0.17" footer="0.17"/>
  <pageSetup horizontalDpi="600" verticalDpi="600" orientation="portrait" paperSize="9" scale="75" r:id="rId1"/>
  <headerFooter alignWithMargins="0">
    <oddFooter>&amp;L&amp;7&amp;Z&amp;F&amp;R&amp;"BrowalliaUPC,ธรรมดา"&amp;12รับรองข้อมูลถูกต้อง          
...............................................</oddFooter>
  </headerFooter>
  <rowBreaks count="8" manualBreakCount="8">
    <brk id="39" max="6" man="1"/>
    <brk id="74" max="6" man="1"/>
    <brk id="105" max="6" man="1"/>
    <brk id="125" max="6" man="1"/>
    <brk id="148" max="6" man="1"/>
    <brk id="171" max="6" man="1"/>
    <brk id="199" max="6" man="1"/>
    <brk id="2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0"/>
  </sheetPr>
  <dimension ref="A1:S240"/>
  <sheetViews>
    <sheetView showGridLines="0" zoomScale="85" zoomScaleNormal="85" zoomScaleSheetLayoutView="85" zoomScalePageLayoutView="0" workbookViewId="0" topLeftCell="A1">
      <selection activeCell="B10" sqref="B10:C10"/>
    </sheetView>
  </sheetViews>
  <sheetFormatPr defaultColWidth="8.00390625" defaultRowHeight="14.25"/>
  <cols>
    <col min="1" max="1" width="11.75390625" style="264" customWidth="1"/>
    <col min="2" max="2" width="27.125" style="264" customWidth="1"/>
    <col min="3" max="3" width="8.125" style="263" customWidth="1"/>
    <col min="4" max="4" width="11.50390625" style="263" customWidth="1"/>
    <col min="5" max="6" width="10.75390625" style="263" customWidth="1"/>
    <col min="7" max="7" width="8.375" style="263" customWidth="1"/>
    <col min="8" max="8" width="8.375" style="264" customWidth="1"/>
    <col min="9" max="9" width="8.375" style="265" customWidth="1"/>
    <col min="10" max="10" width="14.375" style="266" hidden="1" customWidth="1"/>
    <col min="11" max="12" width="12.625" style="264" hidden="1" customWidth="1"/>
    <col min="13" max="13" width="50.375" style="395" hidden="1" customWidth="1"/>
    <col min="14" max="19" width="8.00390625" style="396" customWidth="1"/>
    <col min="20" max="16384" width="8.00390625" style="264" customWidth="1"/>
  </cols>
  <sheetData>
    <row r="1" spans="1:2" ht="27" thickBot="1">
      <c r="A1" s="262" t="s">
        <v>555</v>
      </c>
      <c r="B1" s="262"/>
    </row>
    <row r="2" spans="1:5" ht="21.75" thickBot="1">
      <c r="A2" s="357" t="s">
        <v>812</v>
      </c>
      <c r="B2" s="702">
        <f>IF(('EntryData-ข้อมูล1'!C10&lt;&gt;""),'EntryData-ข้อมูล1'!C10,"")</f>
      </c>
      <c r="C2" s="703"/>
      <c r="D2" s="704"/>
      <c r="E2" s="88" t="s">
        <v>642</v>
      </c>
    </row>
    <row r="3" spans="1:4" ht="21.75" thickBot="1">
      <c r="A3" s="357" t="s">
        <v>839</v>
      </c>
      <c r="B3" s="702">
        <f>IF(('EntryData-ข้อมูล1'!C11&lt;&gt;""),'EntryData-ข้อมูล1'!C11,"")</f>
      </c>
      <c r="C3" s="703"/>
      <c r="D3" s="704"/>
    </row>
    <row r="4" ht="6" customHeight="1"/>
    <row r="5" spans="1:2" ht="21.75" customHeight="1">
      <c r="A5" s="293" t="s">
        <v>686</v>
      </c>
      <c r="B5" s="293"/>
    </row>
    <row r="6" spans="1:2" ht="6.75" customHeight="1" thickBot="1">
      <c r="A6" s="293"/>
      <c r="B6" s="293"/>
    </row>
    <row r="7" spans="1:13" ht="24.75" customHeight="1">
      <c r="A7" s="717" t="s">
        <v>556</v>
      </c>
      <c r="B7" s="718"/>
      <c r="C7" s="719"/>
      <c r="D7" s="342" t="s">
        <v>644</v>
      </c>
      <c r="E7" s="343" t="s">
        <v>830</v>
      </c>
      <c r="F7" s="344" t="s">
        <v>818</v>
      </c>
      <c r="G7" s="265"/>
      <c r="H7" s="266"/>
      <c r="I7" s="266"/>
      <c r="J7" s="263"/>
      <c r="K7" s="267"/>
      <c r="M7" s="396"/>
    </row>
    <row r="8" spans="1:13" ht="24.75" customHeight="1" thickBot="1">
      <c r="A8" s="712"/>
      <c r="B8" s="713"/>
      <c r="C8" s="714"/>
      <c r="D8" s="345" t="s">
        <v>831</v>
      </c>
      <c r="E8" s="340"/>
      <c r="F8" s="341" t="s">
        <v>819</v>
      </c>
      <c r="J8" s="406" t="s">
        <v>798</v>
      </c>
      <c r="K8" s="406" t="s">
        <v>820</v>
      </c>
      <c r="L8" s="406" t="s">
        <v>821</v>
      </c>
      <c r="M8" s="407" t="s">
        <v>799</v>
      </c>
    </row>
    <row r="9" spans="1:13" ht="21" customHeight="1">
      <c r="A9" s="346" t="s">
        <v>832</v>
      </c>
      <c r="B9" s="346"/>
      <c r="C9" s="347"/>
      <c r="D9" s="348"/>
      <c r="E9" s="349"/>
      <c r="F9" s="289"/>
      <c r="J9" s="371"/>
      <c r="K9" s="371"/>
      <c r="L9" s="371"/>
      <c r="M9" s="404"/>
    </row>
    <row r="10" spans="1:14" ht="41.25" customHeight="1">
      <c r="A10" s="338" t="s">
        <v>47</v>
      </c>
      <c r="B10" s="700" t="s">
        <v>640</v>
      </c>
      <c r="C10" s="701"/>
      <c r="D10" s="583">
        <v>5</v>
      </c>
      <c r="E10" s="584" t="str">
        <f>IF(('EntryData-ปฐมวัย(ตบช.1-12)'!E9="Auto-calculate"),"Auto-calculate",'EntryData-ปฐมวัย(ตบช.1-12)'!E9)</f>
        <v>Auto-calculate</v>
      </c>
      <c r="F10" s="585" t="str">
        <f>IF(('EntryData-ปฐมวัย(ตบช.1-12)'!F9="Auto-calculate"),"Auto-calculate",'EntryData-ปฐมวัย(ตบช.1-12)'!F9)</f>
        <v>Auto-calculate</v>
      </c>
      <c r="J10" s="387">
        <v>1</v>
      </c>
      <c r="K10" s="373">
        <f>IF(AND((E10&gt;=3.75),(E10&lt;&gt;"Auto-Calculate")),1,"")</f>
      </c>
      <c r="L10" s="373">
        <f>IF((E10&lt;=2.99),1,"")</f>
      </c>
      <c r="M10" s="470" t="s">
        <v>640</v>
      </c>
      <c r="N10" s="390"/>
    </row>
    <row r="11" spans="1:14" ht="41.25" customHeight="1">
      <c r="A11" s="338" t="s">
        <v>48</v>
      </c>
      <c r="B11" s="700" t="s">
        <v>440</v>
      </c>
      <c r="C11" s="701"/>
      <c r="D11" s="583">
        <v>5</v>
      </c>
      <c r="E11" s="584" t="str">
        <f>IF(('EntryData-ปฐมวัย(ตบช.1-12)'!E17="Auto-calculate"),"Auto-calculate",'EntryData-ปฐมวัย(ตบช.1-12)'!E17)</f>
        <v>Auto-calculate</v>
      </c>
      <c r="F11" s="585" t="str">
        <f>IF(('EntryData-ปฐมวัย(ตบช.1-12)'!F17="Auto-calculate"),"Auto-calculate",'EntryData-ปฐมวัย(ตบช.1-12)'!F17)</f>
        <v>Auto-calculate</v>
      </c>
      <c r="J11" s="387">
        <v>2</v>
      </c>
      <c r="K11" s="373">
        <f>IF(AND((E11&gt;=3.75),(E11&lt;&gt;"Auto-Calculate")),1,"")</f>
      </c>
      <c r="L11" s="373">
        <f>IF((E11&lt;=2.99),1,"")</f>
      </c>
      <c r="M11" s="470" t="s">
        <v>440</v>
      </c>
      <c r="N11" s="390"/>
    </row>
    <row r="12" spans="1:14" ht="41.25" customHeight="1">
      <c r="A12" s="338" t="s">
        <v>49</v>
      </c>
      <c r="B12" s="700" t="s">
        <v>443</v>
      </c>
      <c r="C12" s="701"/>
      <c r="D12" s="583">
        <v>5</v>
      </c>
      <c r="E12" s="584" t="str">
        <f>IF(('EntryData-ปฐมวัย(ตบช.1-12)'!E28="Auto-calculate"),"Auto-calculate",'EntryData-ปฐมวัย(ตบช.1-12)'!E28)</f>
        <v>Auto-calculate</v>
      </c>
      <c r="F12" s="585" t="str">
        <f>IF(('EntryData-ปฐมวัย(ตบช.1-12)'!F28="Auto-calculate"),"Auto-calculate",'EntryData-ปฐมวัย(ตบช.1-12)'!F28)</f>
        <v>Auto-calculate</v>
      </c>
      <c r="J12" s="387">
        <v>3</v>
      </c>
      <c r="K12" s="373">
        <f>IF(AND((E12&gt;=3.75),(E12&lt;&gt;"Auto-Calculate")),1,"")</f>
      </c>
      <c r="L12" s="373">
        <f>IF((E12&lt;=2.99),1,"")</f>
      </c>
      <c r="M12" s="470" t="s">
        <v>443</v>
      </c>
      <c r="N12" s="390"/>
    </row>
    <row r="13" spans="1:14" ht="41.25" customHeight="1">
      <c r="A13" s="338" t="s">
        <v>50</v>
      </c>
      <c r="B13" s="700" t="s">
        <v>446</v>
      </c>
      <c r="C13" s="701"/>
      <c r="D13" s="583">
        <v>10</v>
      </c>
      <c r="E13" s="584" t="str">
        <f>IF(('EntryData-ปฐมวัย(ตบช.1-12)'!E40="Auto-calculate"),"Auto-calculate",'EntryData-ปฐมวัย(ตบช.1-12)'!E40)</f>
        <v>Auto-calculate</v>
      </c>
      <c r="F13" s="585" t="str">
        <f>IF(('EntryData-ปฐมวัย(ตบช.1-12)'!F40="Auto-calculate"),"Auto-calculate",'EntryData-ปฐมวัย(ตบช.1-12)'!F40)</f>
        <v>Auto-calculate</v>
      </c>
      <c r="J13" s="387">
        <v>4</v>
      </c>
      <c r="K13" s="373">
        <f>IF(AND((E13&gt;=7.5),(E13&lt;&gt;"Auto-Calculate")),1,"")</f>
      </c>
      <c r="L13" s="373">
        <f>IF((E13&lt;=5.99),1,"")</f>
      </c>
      <c r="M13" s="470" t="s">
        <v>446</v>
      </c>
      <c r="N13" s="390"/>
    </row>
    <row r="14" spans="1:14" ht="41.25" customHeight="1">
      <c r="A14" s="338" t="s">
        <v>51</v>
      </c>
      <c r="B14" s="700" t="s">
        <v>451</v>
      </c>
      <c r="C14" s="701"/>
      <c r="D14" s="586">
        <v>10</v>
      </c>
      <c r="E14" s="584" t="str">
        <f>IF(('EntryData-ปฐมวัย(ตบช.1-12)'!E57="Auto-calculate"),"Auto-calculate",'EntryData-ปฐมวัย(ตบช.1-12)'!E57)</f>
        <v>Auto-calculate</v>
      </c>
      <c r="F14" s="585" t="str">
        <f>IF(('EntryData-ปฐมวัย(ตบช.1-12)'!F57="Auto-calculate"),"Auto-calculate",'EntryData-ปฐมวัย(ตบช.1-12)'!F57)</f>
        <v>Auto-calculate</v>
      </c>
      <c r="J14" s="387">
        <v>5</v>
      </c>
      <c r="K14" s="373">
        <f>IF(AND((E14&gt;=7.5),(E14&lt;&gt;"Auto-Calculate")),1,"")</f>
      </c>
      <c r="L14" s="373">
        <f>IF((E14&lt;=5.99),1,"")</f>
      </c>
      <c r="M14" s="470" t="s">
        <v>451</v>
      </c>
      <c r="N14" s="390"/>
    </row>
    <row r="15" spans="1:14" ht="42" customHeight="1">
      <c r="A15" s="338" t="s">
        <v>52</v>
      </c>
      <c r="B15" s="700" t="s">
        <v>557</v>
      </c>
      <c r="C15" s="701"/>
      <c r="D15" s="583">
        <v>35</v>
      </c>
      <c r="E15" s="584" t="str">
        <f>IF(('EntryData-ปฐมวัย(ตบช.1-12)'!E92="Auto-calculate"),"Auto-calculate",'EntryData-ปฐมวัย(ตบช.1-12)'!E92)</f>
        <v>Auto-calculate</v>
      </c>
      <c r="F15" s="585" t="str">
        <f>IF(('EntryData-ปฐมวัย(ตบช.1-12)'!F92="Auto-calculate"),"Auto-calculate",'EntryData-ปฐมวัย(ตบช.1-12)'!F92)</f>
        <v>Auto-calculate</v>
      </c>
      <c r="J15" s="387">
        <v>6</v>
      </c>
      <c r="K15" s="373">
        <f>IF(AND((E15&gt;=26.25),(E15&lt;&gt;"Auto-Calculate")),1,"")</f>
      </c>
      <c r="L15" s="373">
        <f>IF((E15&lt;=20.99),1,"")</f>
      </c>
      <c r="M15" s="470" t="s">
        <v>557</v>
      </c>
      <c r="N15" s="390"/>
    </row>
    <row r="16" spans="1:14" ht="42" customHeight="1">
      <c r="A16" s="338" t="s">
        <v>54</v>
      </c>
      <c r="B16" s="700" t="s">
        <v>876</v>
      </c>
      <c r="C16" s="701"/>
      <c r="D16" s="583">
        <v>15</v>
      </c>
      <c r="E16" s="584" t="str">
        <f>IF(('EntryData-ปฐมวัย(ตบช.1-12)'!E137="Auto-calculate"),"Auto-calculate",'EntryData-ปฐมวัย(ตบช.1-12)'!E137)</f>
        <v>Auto-calculate</v>
      </c>
      <c r="F16" s="585" t="str">
        <f>IF(('EntryData-ปฐมวัย(ตบช.1-12)'!F137="Auto-calculate"),"Auto-calculate",'EntryData-ปฐมวัย(ตบช.1-12)'!F137)</f>
        <v>Auto-calculate</v>
      </c>
      <c r="J16" s="387">
        <v>7</v>
      </c>
      <c r="K16" s="373">
        <f>IF(AND((E16&gt;=11.25),(E16&lt;&gt;"Auto-Calculate")),1,"")</f>
      </c>
      <c r="L16" s="373">
        <f>IF((E16&lt;=8.99),1,"")</f>
      </c>
      <c r="M16" s="470" t="s">
        <v>876</v>
      </c>
      <c r="N16" s="390"/>
    </row>
    <row r="17" spans="1:19" s="277" customFormat="1" ht="42" customHeight="1" thickBot="1">
      <c r="A17" s="339" t="s">
        <v>55</v>
      </c>
      <c r="B17" s="720" t="s">
        <v>583</v>
      </c>
      <c r="C17" s="721"/>
      <c r="D17" s="587">
        <v>5</v>
      </c>
      <c r="E17" s="588" t="str">
        <f>IF(('EntryData-ปฐมวัย(ตบช.1-12)'!E182="Auto-calculate"),"Auto-calculate",'EntryData-ปฐมวัย(ตบช.1-12)'!E182)</f>
        <v>Auto-calculate</v>
      </c>
      <c r="F17" s="589" t="str">
        <f>IF(('EntryData-ปฐมวัย(ตบช.1-12)'!F182="Auto-calculate"),"Auto-calculate",'EntryData-ปฐมวัย(ตบช.1-12)'!F182)</f>
        <v>Auto-calculate</v>
      </c>
      <c r="J17" s="388">
        <v>8</v>
      </c>
      <c r="K17" s="373">
        <f>IF(AND((E17&gt;=3.75),(E17&lt;&gt;"Auto-Calculate")),1,"")</f>
      </c>
      <c r="L17" s="373">
        <f>IF((E17&lt;=2.99),1,"")</f>
      </c>
      <c r="M17" s="470" t="s">
        <v>583</v>
      </c>
      <c r="N17" s="391"/>
      <c r="O17" s="398"/>
      <c r="P17" s="398"/>
      <c r="Q17" s="398"/>
      <c r="R17" s="398"/>
      <c r="S17" s="398"/>
    </row>
    <row r="18" spans="1:13" ht="23.25">
      <c r="A18" s="269" t="s">
        <v>833</v>
      </c>
      <c r="B18" s="269"/>
      <c r="C18" s="336"/>
      <c r="D18" s="270"/>
      <c r="E18" s="271"/>
      <c r="F18" s="315"/>
      <c r="J18" s="373"/>
      <c r="K18" s="373"/>
      <c r="L18" s="373"/>
      <c r="M18" s="410"/>
    </row>
    <row r="19" spans="1:14" ht="42" customHeight="1">
      <c r="A19" s="338" t="s">
        <v>57</v>
      </c>
      <c r="B19" s="700" t="s">
        <v>558</v>
      </c>
      <c r="C19" s="701"/>
      <c r="D19" s="583">
        <v>2.5</v>
      </c>
      <c r="E19" s="584" t="str">
        <f>IF(('EntryData-ปฐมวัย(ตบช.1-12)'!E200="Auto-calculate"),"Auto-calculate",'EntryData-ปฐมวัย(ตบช.1-12)'!E200)</f>
        <v>Auto-calculate</v>
      </c>
      <c r="F19" s="585" t="str">
        <f>IF(('EntryData-ปฐมวัย(ตบช.1-12)'!F200="Auto-calculate"),"Auto-calculate",'EntryData-ปฐมวัย(ตบช.1-12)'!F200)</f>
        <v>Auto-calculate</v>
      </c>
      <c r="J19" s="387">
        <v>9</v>
      </c>
      <c r="K19" s="373">
        <f>IF(AND((E19&gt;=2),(E19&lt;&gt;"Auto-Calculate")),1,"")</f>
      </c>
      <c r="L19" s="373">
        <f>IF((E19&lt;=1),1,"")</f>
      </c>
      <c r="M19" s="470" t="s">
        <v>558</v>
      </c>
      <c r="N19" s="390"/>
    </row>
    <row r="20" spans="1:14" ht="42" customHeight="1" thickBot="1">
      <c r="A20" s="353" t="s">
        <v>58</v>
      </c>
      <c r="B20" s="705" t="s">
        <v>660</v>
      </c>
      <c r="C20" s="706"/>
      <c r="D20" s="590">
        <v>2.5</v>
      </c>
      <c r="E20" s="591" t="str">
        <f>IF(('EntryData-ปฐมวัย(ตบช.1-12)'!E206="Auto-calculate"),"Auto-calculate",'EntryData-ปฐมวัย(ตบช.1-12)'!E206)</f>
        <v>Auto-calculate</v>
      </c>
      <c r="F20" s="592" t="str">
        <f>IF(('EntryData-ปฐมวัย(ตบช.1-12)'!F206="Auto-calculate"),"Auto-calculate",'EntryData-ปฐมวัย(ตบช.1-12)'!F206)</f>
        <v>Auto-calculate</v>
      </c>
      <c r="J20" s="387">
        <v>10</v>
      </c>
      <c r="K20" s="373">
        <f>IF(AND((E20&gt;=2),(E20&lt;&gt;"Auto-Calculate")),1,"")</f>
      </c>
      <c r="L20" s="373">
        <f>IF((E20&lt;=1),1,"")</f>
      </c>
      <c r="M20" s="470" t="s">
        <v>660</v>
      </c>
      <c r="N20" s="390"/>
    </row>
    <row r="21" spans="1:14" ht="23.25">
      <c r="A21" s="346" t="s">
        <v>834</v>
      </c>
      <c r="B21" s="346"/>
      <c r="C21" s="347"/>
      <c r="D21" s="354"/>
      <c r="E21" s="355"/>
      <c r="F21" s="356"/>
      <c r="J21" s="373"/>
      <c r="K21" s="373"/>
      <c r="L21" s="373"/>
      <c r="M21" s="471"/>
      <c r="N21" s="403"/>
    </row>
    <row r="22" spans="1:14" ht="42" customHeight="1">
      <c r="A22" s="268" t="s">
        <v>60</v>
      </c>
      <c r="B22" s="700" t="s">
        <v>61</v>
      </c>
      <c r="C22" s="701"/>
      <c r="D22" s="583">
        <v>2.5</v>
      </c>
      <c r="E22" s="584" t="str">
        <f>IF(('EntryData-ปฐมวัย(ตบช.1-12)'!E212="Auto-calculate"),"Auto-calculate",'EntryData-ปฐมวัย(ตบช.1-12)'!E212)</f>
        <v>Auto-calculate</v>
      </c>
      <c r="F22" s="585" t="str">
        <f>IF(('EntryData-ปฐมวัย(ตบช.1-12)'!F212="Auto-calculate"),"Auto-calculate",'EntryData-ปฐมวัย(ตบช.1-12)'!F212)</f>
        <v>Auto-calculate</v>
      </c>
      <c r="J22" s="387">
        <v>11</v>
      </c>
      <c r="K22" s="373">
        <f>IF(AND((E22&gt;=1.88),(E22&lt;&gt;"Auto-Calculate")),1,"")</f>
      </c>
      <c r="L22" s="373">
        <f>IF((E22&lt;=1.49),1,"")</f>
      </c>
      <c r="M22" s="470" t="s">
        <v>61</v>
      </c>
      <c r="N22" s="390"/>
    </row>
    <row r="23" spans="1:14" ht="66.75" customHeight="1" thickBot="1">
      <c r="A23" s="370" t="s">
        <v>62</v>
      </c>
      <c r="B23" s="705" t="s">
        <v>559</v>
      </c>
      <c r="C23" s="706"/>
      <c r="D23" s="590">
        <v>2.5</v>
      </c>
      <c r="E23" s="591" t="str">
        <f>IF(('EntryData-ปฐมวัย(ตบช.1-12)'!E219="Auto-calculate"),"Auto-calculate",'EntryData-ปฐมวัย(ตบช.1-12)'!E219)</f>
        <v>Auto-calculate</v>
      </c>
      <c r="F23" s="592" t="str">
        <f>IF(('EntryData-ปฐมวัย(ตบช.1-12)'!F219="Auto-calculate"),"Auto-calculate",'EntryData-ปฐมวัย(ตบช.1-12)'!F219)</f>
        <v>Auto-calculate</v>
      </c>
      <c r="J23" s="387">
        <v>12</v>
      </c>
      <c r="K23" s="373">
        <f>IF(AND((E23&gt;=2),(E23&lt;&gt;"Auto-Calculate")),1,"")</f>
      </c>
      <c r="L23" s="373">
        <f>IF((E23&lt;=1),1,"")</f>
      </c>
      <c r="M23" s="470" t="s">
        <v>559</v>
      </c>
      <c r="N23" s="390"/>
    </row>
    <row r="24" spans="1:13" ht="43.5" customHeight="1" thickBot="1">
      <c r="A24" s="708" t="s">
        <v>696</v>
      </c>
      <c r="B24" s="709"/>
      <c r="C24" s="710"/>
      <c r="D24" s="593">
        <f>SUM(D10:D23)</f>
        <v>100</v>
      </c>
      <c r="E24" s="594" t="str">
        <f>IF(COUNTIF(E10:E23,"Auto-calculate")&lt;12,SUM(E10:E23),"Auto-calculate")</f>
        <v>Auto-calculate</v>
      </c>
      <c r="F24" s="369" t="str">
        <f>IF(OR((ISERROR(E24)="True"),(E24="Auto-calculate")),"Auto-calculate",IF((E24&gt;=90),"ดีมาก",IF((E24&gt;=75),"ดี",IF((E24&gt;=60),"พอใช้",IF((E24&gt;=50),"ต้องปรับปรุง",IF((E24&gt;=0),"ต้องปรับปรุงเร่งด่วน"))))))</f>
        <v>Auto-calculate</v>
      </c>
      <c r="J24" s="373" t="s">
        <v>825</v>
      </c>
      <c r="K24" s="373">
        <f>SUM(K10:K23)</f>
        <v>0</v>
      </c>
      <c r="L24" s="373">
        <f>SUM(L10:L23)</f>
        <v>0</v>
      </c>
      <c r="M24" s="404"/>
    </row>
    <row r="25" spans="1:19" s="277" customFormat="1" ht="4.5" customHeight="1">
      <c r="A25" s="272"/>
      <c r="B25" s="272"/>
      <c r="C25" s="273"/>
      <c r="D25" s="274"/>
      <c r="E25" s="273"/>
      <c r="F25" s="274"/>
      <c r="G25" s="273"/>
      <c r="J25" s="350"/>
      <c r="K25" s="275"/>
      <c r="L25" s="276"/>
      <c r="M25" s="397"/>
      <c r="N25" s="398"/>
      <c r="O25" s="398"/>
      <c r="P25" s="398"/>
      <c r="Q25" s="398"/>
      <c r="R25" s="398"/>
      <c r="S25" s="398"/>
    </row>
    <row r="26" spans="1:19" s="277" customFormat="1" ht="21">
      <c r="A26" s="707" t="s">
        <v>745</v>
      </c>
      <c r="B26" s="707"/>
      <c r="C26" s="707"/>
      <c r="D26" s="707"/>
      <c r="E26" s="381" t="str">
        <f>IF((E24="Auto-calculate"),"Auto-calculate",IF((E24&gt;=80),"ใช่","ไม่ใช่"))</f>
        <v>Auto-calculate</v>
      </c>
      <c r="I26" s="275"/>
      <c r="J26" s="276"/>
      <c r="M26" s="397"/>
      <c r="N26" s="398"/>
      <c r="O26" s="398"/>
      <c r="P26" s="398"/>
      <c r="Q26" s="398"/>
      <c r="R26" s="398"/>
      <c r="S26" s="398"/>
    </row>
    <row r="27" spans="1:19" s="277" customFormat="1" ht="21">
      <c r="A27" s="707" t="s">
        <v>746</v>
      </c>
      <c r="B27" s="707"/>
      <c r="C27" s="707"/>
      <c r="D27" s="707"/>
      <c r="E27" s="381" t="str">
        <f>IF((E24="Auto-calculate"),"Auto-calculate",IF((K24&gt;=10),"ใช่","ไม่ใช่"))</f>
        <v>Auto-calculate</v>
      </c>
      <c r="I27" s="275"/>
      <c r="J27" s="276"/>
      <c r="M27" s="397"/>
      <c r="N27" s="398"/>
      <c r="O27" s="398"/>
      <c r="P27" s="398"/>
      <c r="Q27" s="398"/>
      <c r="R27" s="398"/>
      <c r="S27" s="398"/>
    </row>
    <row r="28" spans="1:19" s="277" customFormat="1" ht="21">
      <c r="A28" s="707" t="s">
        <v>747</v>
      </c>
      <c r="B28" s="707"/>
      <c r="C28" s="707"/>
      <c r="D28" s="707"/>
      <c r="E28" s="381" t="str">
        <f>IF((E24="Auto-calculate"),"Auto-calculate",IF((L24=0),"ใช่","ไม่ใช่"))</f>
        <v>Auto-calculate</v>
      </c>
      <c r="I28" s="275"/>
      <c r="J28" s="276"/>
      <c r="M28" s="397"/>
      <c r="N28" s="398"/>
      <c r="O28" s="398"/>
      <c r="P28" s="398"/>
      <c r="Q28" s="398"/>
      <c r="R28" s="398"/>
      <c r="S28" s="398"/>
    </row>
    <row r="29" spans="1:19" s="277" customFormat="1" ht="11.25" customHeight="1">
      <c r="A29" s="278"/>
      <c r="B29" s="278"/>
      <c r="C29" s="307"/>
      <c r="D29" s="279"/>
      <c r="I29" s="275"/>
      <c r="J29" s="276"/>
      <c r="M29" s="397"/>
      <c r="N29" s="398"/>
      <c r="O29" s="398"/>
      <c r="P29" s="398"/>
      <c r="Q29" s="398"/>
      <c r="R29" s="398"/>
      <c r="S29" s="398"/>
    </row>
    <row r="30" spans="1:19" s="277" customFormat="1" ht="21.75">
      <c r="A30" s="711" t="s">
        <v>835</v>
      </c>
      <c r="B30" s="711"/>
      <c r="C30" s="711"/>
      <c r="D30" s="711"/>
      <c r="E30" s="374"/>
      <c r="F30" s="375"/>
      <c r="I30" s="275"/>
      <c r="J30" s="276"/>
      <c r="M30" s="397"/>
      <c r="N30" s="398"/>
      <c r="O30" s="398"/>
      <c r="P30" s="398"/>
      <c r="Q30" s="398"/>
      <c r="R30" s="398"/>
      <c r="S30" s="398"/>
    </row>
    <row r="31" spans="1:19" s="277" customFormat="1" ht="12.75" customHeight="1">
      <c r="A31" s="278"/>
      <c r="B31" s="278"/>
      <c r="I31" s="275"/>
      <c r="J31" s="276"/>
      <c r="M31" s="397"/>
      <c r="N31" s="398"/>
      <c r="O31" s="398"/>
      <c r="P31" s="398"/>
      <c r="Q31" s="398"/>
      <c r="R31" s="398"/>
      <c r="S31" s="398"/>
    </row>
    <row r="32" spans="1:8" ht="21.75" customHeight="1">
      <c r="A32" s="377">
        <f>IF((E24="Auto-calculate"),"",IF(AND((E26="ใช่"),(E27="ใช่"),(E28="ใช่")),"þ",""))</f>
      </c>
      <c r="B32" s="376" t="s">
        <v>748</v>
      </c>
      <c r="C32" s="377">
        <f>IF((E24="Auto-calculate"),"",IF(OR((E26="ไม่ใช่"),(E27="ไม่ใช่"),(E28="ไม่ใช่")),"þ",""))</f>
      </c>
      <c r="D32" s="376" t="s">
        <v>749</v>
      </c>
      <c r="F32" s="282"/>
      <c r="G32" s="264"/>
      <c r="H32" s="282"/>
    </row>
    <row r="33" spans="3:8" ht="30" customHeight="1">
      <c r="C33" s="280"/>
      <c r="D33" s="264"/>
      <c r="E33" s="273"/>
      <c r="F33" s="282"/>
      <c r="G33" s="281"/>
      <c r="H33" s="282"/>
    </row>
    <row r="34" spans="1:2" ht="21.75" customHeight="1">
      <c r="A34" s="293" t="s">
        <v>687</v>
      </c>
      <c r="B34" s="293"/>
    </row>
    <row r="35" spans="1:2" ht="6.75" customHeight="1" thickBot="1">
      <c r="A35" s="293"/>
      <c r="B35" s="293"/>
    </row>
    <row r="36" spans="1:13" ht="24.75" customHeight="1">
      <c r="A36" s="717" t="s">
        <v>556</v>
      </c>
      <c r="B36" s="718"/>
      <c r="C36" s="719"/>
      <c r="D36" s="342" t="s">
        <v>644</v>
      </c>
      <c r="E36" s="343" t="s">
        <v>830</v>
      </c>
      <c r="F36" s="344" t="s">
        <v>818</v>
      </c>
      <c r="G36" s="265"/>
      <c r="H36" s="266"/>
      <c r="I36" s="266"/>
      <c r="J36" s="263"/>
      <c r="K36" s="267"/>
      <c r="M36" s="396"/>
    </row>
    <row r="37" spans="1:13" ht="24.75" customHeight="1" thickBot="1">
      <c r="A37" s="712"/>
      <c r="B37" s="713"/>
      <c r="C37" s="714"/>
      <c r="D37" s="345" t="s">
        <v>831</v>
      </c>
      <c r="E37" s="340"/>
      <c r="F37" s="341" t="s">
        <v>819</v>
      </c>
      <c r="K37" s="266"/>
      <c r="L37" s="266"/>
      <c r="M37" s="396"/>
    </row>
    <row r="38" spans="1:13" ht="21" customHeight="1">
      <c r="A38" s="346" t="s">
        <v>40</v>
      </c>
      <c r="B38" s="352" t="s">
        <v>64</v>
      </c>
      <c r="C38" s="347"/>
      <c r="D38" s="348"/>
      <c r="E38" s="349"/>
      <c r="F38" s="289"/>
      <c r="K38" s="266"/>
      <c r="L38" s="266"/>
      <c r="M38" s="396"/>
    </row>
    <row r="39" spans="1:19" s="277" customFormat="1" ht="21" customHeight="1">
      <c r="A39" s="310" t="s">
        <v>832</v>
      </c>
      <c r="B39" s="310"/>
      <c r="C39" s="351"/>
      <c r="D39" s="311"/>
      <c r="E39" s="312"/>
      <c r="F39" s="313"/>
      <c r="G39" s="350"/>
      <c r="J39" s="350"/>
      <c r="K39" s="276"/>
      <c r="L39" s="276"/>
      <c r="M39" s="398"/>
      <c r="N39" s="398"/>
      <c r="O39" s="398"/>
      <c r="P39" s="398"/>
      <c r="Q39" s="398"/>
      <c r="R39" s="398"/>
      <c r="S39" s="398"/>
    </row>
    <row r="40" spans="1:13" ht="40.5" customHeight="1">
      <c r="A40" s="338" t="s">
        <v>47</v>
      </c>
      <c r="B40" s="700" t="s">
        <v>640</v>
      </c>
      <c r="C40" s="701"/>
      <c r="D40" s="583">
        <v>5</v>
      </c>
      <c r="E40" s="584" t="str">
        <f>IF(('EntryData-ปฐมวัย(ตบช.1-12)'!E9="Auto-calculate"),"Auto-calculate",'EntryData-ปฐมวัย(ตบช.1-12)'!E9)</f>
        <v>Auto-calculate</v>
      </c>
      <c r="F40" s="585" t="str">
        <f>IF(('EntryData-ปฐมวัย(ตบช.1-12)'!F9="Auto-calculate"),"Auto-calculate",'EntryData-ปฐมวัย(ตบช.1-12)'!F9)</f>
        <v>Auto-calculate</v>
      </c>
      <c r="K40" s="266"/>
      <c r="L40" s="266"/>
      <c r="M40" s="396"/>
    </row>
    <row r="41" spans="1:13" ht="40.5" customHeight="1">
      <c r="A41" s="338" t="s">
        <v>48</v>
      </c>
      <c r="B41" s="700" t="s">
        <v>440</v>
      </c>
      <c r="C41" s="701"/>
      <c r="D41" s="583">
        <v>5</v>
      </c>
      <c r="E41" s="584" t="str">
        <f>IF(('EntryData-ปฐมวัย(ตบช.1-12)'!E17="Auto-calculate"),"Auto-calculate",'EntryData-ปฐมวัย(ตบช.1-12)'!E17)</f>
        <v>Auto-calculate</v>
      </c>
      <c r="F41" s="585" t="str">
        <f>IF(('EntryData-ปฐมวัย(ตบช.1-12)'!F17="Auto-calculate"),"Auto-calculate",'EntryData-ปฐมวัย(ตบช.1-12)'!F17)</f>
        <v>Auto-calculate</v>
      </c>
      <c r="K41" s="266"/>
      <c r="L41" s="266"/>
      <c r="M41" s="396"/>
    </row>
    <row r="42" spans="1:13" ht="40.5" customHeight="1">
      <c r="A42" s="338" t="s">
        <v>49</v>
      </c>
      <c r="B42" s="700" t="s">
        <v>443</v>
      </c>
      <c r="C42" s="701"/>
      <c r="D42" s="583">
        <v>5</v>
      </c>
      <c r="E42" s="584" t="str">
        <f>IF(('EntryData-ปฐมวัย(ตบช.1-12)'!E28="Auto-calculate"),"Auto-calculate",'EntryData-ปฐมวัย(ตบช.1-12)'!E28)</f>
        <v>Auto-calculate</v>
      </c>
      <c r="F42" s="585" t="str">
        <f>IF(('EntryData-ปฐมวัย(ตบช.1-12)'!F28="Auto-calculate"),"Auto-calculate",'EntryData-ปฐมวัย(ตบช.1-12)'!F28)</f>
        <v>Auto-calculate</v>
      </c>
      <c r="K42" s="266"/>
      <c r="L42" s="266"/>
      <c r="M42" s="396"/>
    </row>
    <row r="43" spans="1:13" ht="40.5" customHeight="1">
      <c r="A43" s="338" t="s">
        <v>50</v>
      </c>
      <c r="B43" s="700" t="s">
        <v>446</v>
      </c>
      <c r="C43" s="701"/>
      <c r="D43" s="583">
        <v>10</v>
      </c>
      <c r="E43" s="584" t="str">
        <f>IF(('EntryData-ปฐมวัย(ตบช.1-12)'!E40="Auto-calculate"),"Auto-calculate",'EntryData-ปฐมวัย(ตบช.1-12)'!E40)</f>
        <v>Auto-calculate</v>
      </c>
      <c r="F43" s="585" t="str">
        <f>IF(('EntryData-ปฐมวัย(ตบช.1-12)'!F40="Auto-calculate"),"Auto-calculate",'EntryData-ปฐมวัย(ตบช.1-12)'!F40)</f>
        <v>Auto-calculate</v>
      </c>
      <c r="K43" s="266"/>
      <c r="L43" s="266"/>
      <c r="M43" s="396"/>
    </row>
    <row r="44" spans="1:13" ht="40.5" customHeight="1">
      <c r="A44" s="338" t="s">
        <v>51</v>
      </c>
      <c r="B44" s="700" t="s">
        <v>451</v>
      </c>
      <c r="C44" s="701"/>
      <c r="D44" s="586">
        <v>10</v>
      </c>
      <c r="E44" s="584" t="str">
        <f>IF(('EntryData-ปฐมวัย(ตบช.1-12)'!E57="Auto-calculate"),"Auto-calculate",'EntryData-ปฐมวัย(ตบช.1-12)'!E57)</f>
        <v>Auto-calculate</v>
      </c>
      <c r="F44" s="585" t="str">
        <f>IF(('EntryData-ปฐมวัย(ตบช.1-12)'!F57="Auto-calculate"),"Auto-calculate",'EntryData-ปฐมวัย(ตบช.1-12)'!F57)</f>
        <v>Auto-calculate</v>
      </c>
      <c r="K44" s="266"/>
      <c r="L44" s="266"/>
      <c r="M44" s="396"/>
    </row>
    <row r="45" spans="1:19" s="277" customFormat="1" ht="21" customHeight="1">
      <c r="A45" s="310" t="s">
        <v>833</v>
      </c>
      <c r="B45" s="310"/>
      <c r="C45" s="351"/>
      <c r="D45" s="311"/>
      <c r="E45" s="312"/>
      <c r="F45" s="313"/>
      <c r="G45" s="350"/>
      <c r="J45" s="350"/>
      <c r="K45" s="276"/>
      <c r="L45" s="276"/>
      <c r="M45" s="398"/>
      <c r="N45" s="398"/>
      <c r="O45" s="398"/>
      <c r="P45" s="398"/>
      <c r="Q45" s="398"/>
      <c r="R45" s="398"/>
      <c r="S45" s="398"/>
    </row>
    <row r="46" spans="1:13" ht="42" customHeight="1">
      <c r="A46" s="338" t="s">
        <v>57</v>
      </c>
      <c r="B46" s="700" t="s">
        <v>558</v>
      </c>
      <c r="C46" s="701"/>
      <c r="D46" s="583">
        <v>2.5</v>
      </c>
      <c r="E46" s="584" t="str">
        <f>IF(('EntryData-ปฐมวัย(ตบช.1-12)'!E200="Auto-calculate"),"Auto-calculate",'EntryData-ปฐมวัย(ตบช.1-12)'!E200)</f>
        <v>Auto-calculate</v>
      </c>
      <c r="F46" s="585" t="str">
        <f>IF(('EntryData-ปฐมวัย(ตบช.1-12)'!F200="Auto-calculate"),"Auto-calculate",'EntryData-ปฐมวัย(ตบช.1-12)'!F200)</f>
        <v>Auto-calculate</v>
      </c>
      <c r="K46" s="266"/>
      <c r="L46" s="266"/>
      <c r="M46" s="396"/>
    </row>
    <row r="47" spans="1:13" ht="42" customHeight="1">
      <c r="A47" s="338" t="s">
        <v>58</v>
      </c>
      <c r="B47" s="705" t="s">
        <v>660</v>
      </c>
      <c r="C47" s="706"/>
      <c r="D47" s="590">
        <v>2.5</v>
      </c>
      <c r="E47" s="584" t="str">
        <f>IF(('EntryData-ปฐมวัย(ตบช.1-12)'!E206="Auto-calculate"),"Auto-calculate",'EntryData-ปฐมวัย(ตบช.1-12)'!E206)</f>
        <v>Auto-calculate</v>
      </c>
      <c r="F47" s="585" t="str">
        <f>IF(('EntryData-ปฐมวัย(ตบช.1-12)'!F206="Auto-calculate"),"Auto-calculate",'EntryData-ปฐมวัย(ตบช.1-12)'!F206)</f>
        <v>Auto-calculate</v>
      </c>
      <c r="K47" s="266"/>
      <c r="L47" s="266"/>
      <c r="M47" s="396"/>
    </row>
    <row r="48" spans="1:19" s="277" customFormat="1" ht="21" customHeight="1">
      <c r="A48" s="310" t="s">
        <v>834</v>
      </c>
      <c r="B48" s="310"/>
      <c r="C48" s="351"/>
      <c r="D48" s="311"/>
      <c r="E48" s="312"/>
      <c r="F48" s="313"/>
      <c r="G48" s="350"/>
      <c r="J48" s="350"/>
      <c r="K48" s="276"/>
      <c r="L48" s="276"/>
      <c r="M48" s="398"/>
      <c r="N48" s="398"/>
      <c r="O48" s="398"/>
      <c r="P48" s="398"/>
      <c r="Q48" s="398"/>
      <c r="R48" s="398"/>
      <c r="S48" s="398"/>
    </row>
    <row r="49" spans="1:13" ht="42" customHeight="1" thickBot="1">
      <c r="A49" s="332" t="s">
        <v>60</v>
      </c>
      <c r="B49" s="700" t="s">
        <v>61</v>
      </c>
      <c r="C49" s="701"/>
      <c r="D49" s="583">
        <v>2.5</v>
      </c>
      <c r="E49" s="584" t="str">
        <f>IF(('EntryData-ปฐมวัย(ตบช.1-12)'!E212="Auto-calculate"),"Auto-calculate",'EntryData-ปฐมวัย(ตบช.1-12)'!E212)</f>
        <v>Auto-calculate</v>
      </c>
      <c r="F49" s="585" t="str">
        <f>IF(('EntryData-ปฐมวัย(ตบช.1-12)'!F212="Auto-calculate"),"Auto-calculate",'EntryData-ปฐมวัย(ตบช.1-12)'!F212)</f>
        <v>Auto-calculate</v>
      </c>
      <c r="K49" s="266"/>
      <c r="L49" s="266"/>
      <c r="M49" s="396"/>
    </row>
    <row r="50" spans="1:13" ht="21" customHeight="1">
      <c r="A50" s="346" t="s">
        <v>41</v>
      </c>
      <c r="B50" s="352" t="s">
        <v>65</v>
      </c>
      <c r="C50" s="347"/>
      <c r="D50" s="348"/>
      <c r="E50" s="349"/>
      <c r="F50" s="289"/>
      <c r="K50" s="266"/>
      <c r="L50" s="266"/>
      <c r="M50" s="396"/>
    </row>
    <row r="51" spans="1:19" s="277" customFormat="1" ht="21" customHeight="1">
      <c r="A51" s="310" t="s">
        <v>832</v>
      </c>
      <c r="B51" s="310"/>
      <c r="C51" s="351"/>
      <c r="D51" s="311"/>
      <c r="E51" s="312"/>
      <c r="F51" s="313"/>
      <c r="G51" s="350"/>
      <c r="J51" s="350"/>
      <c r="K51" s="276"/>
      <c r="L51" s="276"/>
      <c r="M51" s="398"/>
      <c r="N51" s="398"/>
      <c r="O51" s="398"/>
      <c r="P51" s="398"/>
      <c r="Q51" s="398"/>
      <c r="R51" s="398"/>
      <c r="S51" s="398"/>
    </row>
    <row r="52" spans="1:13" ht="42" customHeight="1">
      <c r="A52" s="338" t="s">
        <v>54</v>
      </c>
      <c r="B52" s="700" t="s">
        <v>876</v>
      </c>
      <c r="C52" s="701"/>
      <c r="D52" s="583">
        <v>15</v>
      </c>
      <c r="E52" s="584" t="str">
        <f>IF(('EntryData-ปฐมวัย(ตบช.1-12)'!E137="Auto-calculate"),"Auto-calculate",'EntryData-ปฐมวัย(ตบช.1-12)'!E137)</f>
        <v>Auto-calculate</v>
      </c>
      <c r="F52" s="585" t="str">
        <f>IF(('EntryData-ปฐมวัย(ตบช.1-12)'!F137="Auto-calculate"),"Auto-calculate",'EntryData-ปฐมวัย(ตบช.1-12)'!F137)</f>
        <v>Auto-calculate</v>
      </c>
      <c r="K52" s="266"/>
      <c r="L52" s="266"/>
      <c r="M52" s="396"/>
    </row>
    <row r="53" spans="1:19" s="277" customFormat="1" ht="21" customHeight="1">
      <c r="A53" s="310" t="s">
        <v>834</v>
      </c>
      <c r="B53" s="310"/>
      <c r="C53" s="351"/>
      <c r="D53" s="311"/>
      <c r="E53" s="312"/>
      <c r="F53" s="313"/>
      <c r="G53" s="350"/>
      <c r="J53" s="350"/>
      <c r="K53" s="276"/>
      <c r="L53" s="276"/>
      <c r="M53" s="398"/>
      <c r="N53" s="398"/>
      <c r="O53" s="398"/>
      <c r="P53" s="398"/>
      <c r="Q53" s="398"/>
      <c r="R53" s="398"/>
      <c r="S53" s="398"/>
    </row>
    <row r="54" spans="1:13" ht="66.75" customHeight="1" thickBot="1">
      <c r="A54" s="268" t="s">
        <v>62</v>
      </c>
      <c r="B54" s="705" t="s">
        <v>559</v>
      </c>
      <c r="C54" s="706"/>
      <c r="D54" s="583">
        <v>2.5</v>
      </c>
      <c r="E54" s="584" t="str">
        <f>IF(('EntryData-ปฐมวัย(ตบช.1-12)'!E219="Auto-calculate"),"Auto-calculate",'EntryData-ปฐมวัย(ตบช.1-12)'!E219)</f>
        <v>Auto-calculate</v>
      </c>
      <c r="F54" s="585" t="str">
        <f>IF(('EntryData-ปฐมวัย(ตบช.1-12)'!F219="Auto-calculate"),"Auto-calculate",'EntryData-ปฐมวัย(ตบช.1-12)'!F219)</f>
        <v>Auto-calculate</v>
      </c>
      <c r="K54" s="266"/>
      <c r="L54" s="266"/>
      <c r="M54" s="396"/>
    </row>
    <row r="55" spans="1:13" ht="21" customHeight="1">
      <c r="A55" s="346" t="s">
        <v>66</v>
      </c>
      <c r="B55" s="352" t="s">
        <v>67</v>
      </c>
      <c r="C55" s="347"/>
      <c r="D55" s="348"/>
      <c r="E55" s="349"/>
      <c r="F55" s="289"/>
      <c r="K55" s="266"/>
      <c r="L55" s="266"/>
      <c r="M55" s="396"/>
    </row>
    <row r="56" spans="1:19" s="277" customFormat="1" ht="21" customHeight="1">
      <c r="A56" s="310" t="s">
        <v>832</v>
      </c>
      <c r="B56" s="310"/>
      <c r="C56" s="351"/>
      <c r="D56" s="311"/>
      <c r="E56" s="312"/>
      <c r="F56" s="313"/>
      <c r="G56" s="350"/>
      <c r="J56" s="350"/>
      <c r="K56" s="276"/>
      <c r="L56" s="276"/>
      <c r="M56" s="398"/>
      <c r="N56" s="398"/>
      <c r="O56" s="398"/>
      <c r="P56" s="398"/>
      <c r="Q56" s="398"/>
      <c r="R56" s="398"/>
      <c r="S56" s="398"/>
    </row>
    <row r="57" spans="1:13" ht="42" customHeight="1" thickBot="1">
      <c r="A57" s="338" t="s">
        <v>52</v>
      </c>
      <c r="B57" s="700" t="s">
        <v>557</v>
      </c>
      <c r="C57" s="701"/>
      <c r="D57" s="583">
        <v>35</v>
      </c>
      <c r="E57" s="584" t="str">
        <f>IF(('EntryData-ปฐมวัย(ตบช.1-12)'!E92="Auto-calculate"),"Auto-calculate",'EntryData-ปฐมวัย(ตบช.1-12)'!E92)</f>
        <v>Auto-calculate</v>
      </c>
      <c r="F57" s="585" t="str">
        <f>IF(('EntryData-ปฐมวัย(ตบช.1-12)'!F92="Auto-calculate"),"Auto-calculate",'EntryData-ปฐมวัย(ตบช.1-12)'!F92)</f>
        <v>Auto-calculate</v>
      </c>
      <c r="K57" s="266"/>
      <c r="L57" s="266"/>
      <c r="M57" s="396"/>
    </row>
    <row r="58" spans="1:13" ht="21" customHeight="1">
      <c r="A58" s="346" t="s">
        <v>68</v>
      </c>
      <c r="B58" s="352" t="s">
        <v>69</v>
      </c>
      <c r="C58" s="347"/>
      <c r="D58" s="348"/>
      <c r="E58" s="349"/>
      <c r="F58" s="289"/>
      <c r="K58" s="266"/>
      <c r="L58" s="266"/>
      <c r="M58" s="396"/>
    </row>
    <row r="59" spans="1:19" s="277" customFormat="1" ht="21" customHeight="1">
      <c r="A59" s="310" t="s">
        <v>832</v>
      </c>
      <c r="B59" s="310"/>
      <c r="C59" s="351"/>
      <c r="D59" s="311"/>
      <c r="E59" s="312"/>
      <c r="F59" s="313"/>
      <c r="G59" s="350"/>
      <c r="J59" s="350"/>
      <c r="K59" s="276"/>
      <c r="L59" s="276"/>
      <c r="M59" s="398"/>
      <c r="N59" s="398"/>
      <c r="O59" s="398"/>
      <c r="P59" s="398"/>
      <c r="Q59" s="398"/>
      <c r="R59" s="398"/>
      <c r="S59" s="398"/>
    </row>
    <row r="60" spans="1:19" s="277" customFormat="1" ht="42" customHeight="1" thickBot="1">
      <c r="A60" s="339" t="s">
        <v>55</v>
      </c>
      <c r="B60" s="720" t="s">
        <v>583</v>
      </c>
      <c r="C60" s="721"/>
      <c r="D60" s="587">
        <v>5</v>
      </c>
      <c r="E60" s="595" t="str">
        <f>IF(('EntryData-ปฐมวัย(ตบช.1-12)'!E182="Auto-calculate"),"Auto-calculate",'EntryData-ปฐมวัย(ตบช.1-12)'!E182)</f>
        <v>Auto-calculate</v>
      </c>
      <c r="F60" s="596" t="str">
        <f>IF(('EntryData-ปฐมวัย(ตบช.1-12)'!F182="Auto-calculate"),"Auto-calculate",'EntryData-ปฐมวัย(ตบช.1-12)'!F182)</f>
        <v>Auto-calculate</v>
      </c>
      <c r="J60" s="350"/>
      <c r="K60" s="276"/>
      <c r="L60" s="276"/>
      <c r="M60" s="398"/>
      <c r="N60" s="398"/>
      <c r="O60" s="398"/>
      <c r="P60" s="398"/>
      <c r="Q60" s="398"/>
      <c r="R60" s="398"/>
      <c r="S60" s="398"/>
    </row>
    <row r="61" spans="1:13" ht="47.25" customHeight="1" thickBot="1">
      <c r="A61" s="708" t="s">
        <v>696</v>
      </c>
      <c r="B61" s="709"/>
      <c r="C61" s="710"/>
      <c r="D61" s="593">
        <f>SUM(D40:D60)</f>
        <v>100</v>
      </c>
      <c r="E61" s="594" t="str">
        <f>IF(COUNTIF(E40:E60,"Auto-calculate")&lt;12,SUM(E40:E60),"Auto-calculate")</f>
        <v>Auto-calculate</v>
      </c>
      <c r="F61" s="369" t="str">
        <f>IF(OR((ISERROR(E61)="True"),(E61="Auto-calculate")),"Auto-calculate",IF((E61&gt;=90),"ดีมาก",IF((E61&gt;=75),"ดี",IF((E61&gt;=60),"พอใช้",IF((E61&gt;=50),"ต้องปรับปรุง",IF((E61&gt;=0),"ต้องปรับปรุงเร่งด่วน"))))))</f>
        <v>Auto-calculate</v>
      </c>
      <c r="K61" s="266"/>
      <c r="L61" s="266"/>
      <c r="M61" s="396"/>
    </row>
    <row r="62" spans="1:13" ht="21">
      <c r="A62" s="308"/>
      <c r="B62" s="308"/>
      <c r="C62" s="309"/>
      <c r="D62" s="309"/>
      <c r="E62" s="280"/>
      <c r="F62" s="287"/>
      <c r="G62" s="266"/>
      <c r="H62" s="266"/>
      <c r="I62" s="264"/>
      <c r="J62" s="265"/>
      <c r="M62" s="396"/>
    </row>
    <row r="63" spans="1:19" s="277" customFormat="1" ht="21">
      <c r="A63" s="472" t="s">
        <v>832</v>
      </c>
      <c r="B63" s="472"/>
      <c r="C63" s="350"/>
      <c r="D63" s="350"/>
      <c r="E63" s="350"/>
      <c r="F63" s="350"/>
      <c r="G63" s="350"/>
      <c r="I63" s="275"/>
      <c r="J63" s="276"/>
      <c r="M63" s="397"/>
      <c r="N63" s="398"/>
      <c r="O63" s="398"/>
      <c r="P63" s="398"/>
      <c r="Q63" s="398"/>
      <c r="R63" s="398"/>
      <c r="S63" s="398"/>
    </row>
    <row r="64" spans="1:19" s="277" customFormat="1" ht="21">
      <c r="A64" s="473" t="s">
        <v>514</v>
      </c>
      <c r="B64" s="473"/>
      <c r="C64" s="350"/>
      <c r="D64" s="350"/>
      <c r="E64" s="350"/>
      <c r="F64" s="350"/>
      <c r="G64" s="350"/>
      <c r="I64" s="275"/>
      <c r="J64" s="276"/>
      <c r="M64" s="397"/>
      <c r="N64" s="398"/>
      <c r="O64" s="398"/>
      <c r="P64" s="398"/>
      <c r="Q64" s="398"/>
      <c r="R64" s="398"/>
      <c r="S64" s="398"/>
    </row>
    <row r="65" spans="3:19" s="277" customFormat="1" ht="9.75" customHeight="1" thickBot="1">
      <c r="C65" s="350"/>
      <c r="D65" s="350"/>
      <c r="E65" s="350"/>
      <c r="F65" s="350"/>
      <c r="G65" s="350"/>
      <c r="I65" s="275"/>
      <c r="J65" s="276"/>
      <c r="M65" s="397"/>
      <c r="N65" s="398"/>
      <c r="O65" s="398"/>
      <c r="P65" s="398"/>
      <c r="Q65" s="398"/>
      <c r="R65" s="398"/>
      <c r="S65" s="398"/>
    </row>
    <row r="66" spans="1:19" s="277" customFormat="1" ht="21">
      <c r="A66" s="722" t="s">
        <v>688</v>
      </c>
      <c r="B66" s="723"/>
      <c r="C66" s="285" t="s">
        <v>644</v>
      </c>
      <c r="D66" s="314" t="s">
        <v>689</v>
      </c>
      <c r="E66" s="684" t="s">
        <v>697</v>
      </c>
      <c r="F66" s="685"/>
      <c r="G66" s="685"/>
      <c r="H66" s="685"/>
      <c r="I66" s="686"/>
      <c r="J66" s="350"/>
      <c r="K66" s="276"/>
      <c r="L66" s="276"/>
      <c r="M66" s="398"/>
      <c r="N66" s="398"/>
      <c r="O66" s="397"/>
      <c r="P66" s="398"/>
      <c r="Q66" s="398"/>
      <c r="R66" s="398"/>
      <c r="S66" s="398"/>
    </row>
    <row r="67" spans="1:19" s="277" customFormat="1" ht="42">
      <c r="A67" s="724"/>
      <c r="B67" s="725"/>
      <c r="C67" s="333" t="s">
        <v>831</v>
      </c>
      <c r="D67" s="333" t="s">
        <v>690</v>
      </c>
      <c r="E67" s="316" t="s">
        <v>691</v>
      </c>
      <c r="F67" s="316" t="s">
        <v>692</v>
      </c>
      <c r="G67" s="316" t="s">
        <v>822</v>
      </c>
      <c r="H67" s="316" t="s">
        <v>823</v>
      </c>
      <c r="I67" s="317" t="s">
        <v>824</v>
      </c>
      <c r="J67" s="350"/>
      <c r="K67" s="276"/>
      <c r="L67" s="276"/>
      <c r="M67" s="398"/>
      <c r="N67" s="398"/>
      <c r="O67" s="397"/>
      <c r="P67" s="398"/>
      <c r="Q67" s="398"/>
      <c r="R67" s="398"/>
      <c r="S67" s="398"/>
    </row>
    <row r="68" spans="1:19" s="277" customFormat="1" ht="21">
      <c r="A68" s="726" t="s">
        <v>515</v>
      </c>
      <c r="B68" s="727"/>
      <c r="C68" s="367">
        <v>2.5</v>
      </c>
      <c r="D68" s="367" t="str">
        <f>IF(('EntryData-ปฐมวัย(ตบช.1-12)'!E10="Auto-calculate"),"Auto-calculate",'EntryData-ปฐมวัย(ตบช.1-12)'!E10)</f>
        <v>Auto-calculate</v>
      </c>
      <c r="E68" s="363" t="str">
        <f>IF((D68="Auto-calculate"),":",IF((D68=0.5),"ü",""))</f>
        <v>:</v>
      </c>
      <c r="F68" s="363" t="str">
        <f>IF((D68="Auto-calculate"),":",IF((D68=1),"ü",""))</f>
        <v>:</v>
      </c>
      <c r="G68" s="363" t="str">
        <f>IF((D68="Auto-calculate"),":",IF((D68=1.5),"ü",""))</f>
        <v>:</v>
      </c>
      <c r="H68" s="363" t="str">
        <f>IF((D68="Auto-calculate"),":",IF((D68=2),"ü",""))</f>
        <v>:</v>
      </c>
      <c r="I68" s="364" t="str">
        <f>IF((D68="Auto-calculate"),":",IF((D68=2.5),"ü",""))</f>
        <v>:</v>
      </c>
      <c r="J68" s="350"/>
      <c r="K68" s="276"/>
      <c r="L68" s="276"/>
      <c r="M68" s="398"/>
      <c r="N68" s="398"/>
      <c r="O68" s="397"/>
      <c r="P68" s="398"/>
      <c r="Q68" s="398"/>
      <c r="R68" s="398"/>
      <c r="S68" s="398"/>
    </row>
    <row r="69" spans="1:19" s="277" customFormat="1" ht="21">
      <c r="A69" s="715" t="s">
        <v>516</v>
      </c>
      <c r="B69" s="716"/>
      <c r="C69" s="367">
        <v>2.5</v>
      </c>
      <c r="D69" s="367" t="str">
        <f>IF(('EntryData-ปฐมวัย(ตบช.1-12)'!E14="Auto-calculate"),"Auto-calculate",'EntryData-ปฐมวัย(ตบช.1-12)'!E14)</f>
        <v>Auto-calculate</v>
      </c>
      <c r="E69" s="363" t="str">
        <f>IF((D69="Auto-calculate"),":",IF((D69=0.5),"ü",""))</f>
        <v>:</v>
      </c>
      <c r="F69" s="363" t="str">
        <f>IF((D69="Auto-calculate"),":",IF((D69=1),"ü",""))</f>
        <v>:</v>
      </c>
      <c r="G69" s="363" t="str">
        <f>IF((D69="Auto-calculate"),":",IF((D69=1.5),"ü",""))</f>
        <v>:</v>
      </c>
      <c r="H69" s="363" t="str">
        <f>IF((D69="Auto-calculate"),":",IF((D69=2),"ü",""))</f>
        <v>:</v>
      </c>
      <c r="I69" s="364" t="str">
        <f>IF((D69="Auto-calculate"),":",IF((D69=2.5),"ü",""))</f>
        <v>:</v>
      </c>
      <c r="J69" s="350"/>
      <c r="K69" s="276"/>
      <c r="L69" s="276"/>
      <c r="M69" s="398"/>
      <c r="N69" s="398"/>
      <c r="O69" s="397"/>
      <c r="P69" s="398"/>
      <c r="Q69" s="398"/>
      <c r="R69" s="398"/>
      <c r="S69" s="398"/>
    </row>
    <row r="70" spans="1:19" s="277" customFormat="1" ht="21.75" thickBot="1">
      <c r="A70" s="680" t="s">
        <v>970</v>
      </c>
      <c r="B70" s="681"/>
      <c r="C70" s="368">
        <f>SUM(C68:C69)</f>
        <v>5</v>
      </c>
      <c r="D70" s="368" t="str">
        <f>IF(('EntryData-ปฐมวัย(ตบช.1-12)'!E9="Auto-calculate"),"Auto-calculate",'EntryData-ปฐมวัย(ตบช.1-12)'!E9)</f>
        <v>Auto-calculate</v>
      </c>
      <c r="E70" s="361" t="str">
        <f>IF((D70="Auto-calculate"),":",IF(AND((D70&gt;=0),(D70&lt;=2.49)),"ü",""))</f>
        <v>:</v>
      </c>
      <c r="F70" s="361" t="str">
        <f>IF((D70="Auto-calculate"),":",IF(AND((D70&gt;=2.5),(D70&lt;=2.99)),"ü",""))</f>
        <v>:</v>
      </c>
      <c r="G70" s="361" t="str">
        <f>IF((D70="Auto-calculate"),":",IF(AND((D70&gt;=3),(D70&lt;=3.74)),"ü",""))</f>
        <v>:</v>
      </c>
      <c r="H70" s="361" t="str">
        <f>IF((D70="Auto-calculate"),":",IF(AND((D70&gt;=3.75),(D70&lt;=4.49)),"ü",""))</f>
        <v>:</v>
      </c>
      <c r="I70" s="362" t="str">
        <f>IF((D70="Auto-calculate"),":",IF(AND((D70&gt;=4.5),(D70&lt;=5)),"ü",""))</f>
        <v>:</v>
      </c>
      <c r="J70" s="350"/>
      <c r="K70" s="276"/>
      <c r="L70" s="276"/>
      <c r="M70" s="398"/>
      <c r="N70" s="398"/>
      <c r="O70" s="397"/>
      <c r="P70" s="398"/>
      <c r="Q70" s="398"/>
      <c r="R70" s="398"/>
      <c r="S70" s="398"/>
    </row>
    <row r="71" spans="1:19" s="277" customFormat="1" ht="8.25" customHeight="1">
      <c r="A71" s="474"/>
      <c r="B71" s="474"/>
      <c r="C71" s="475"/>
      <c r="D71" s="475"/>
      <c r="E71" s="476"/>
      <c r="F71" s="476"/>
      <c r="G71" s="476"/>
      <c r="H71" s="476"/>
      <c r="I71" s="476"/>
      <c r="J71" s="350"/>
      <c r="K71" s="276"/>
      <c r="L71" s="276"/>
      <c r="M71" s="398"/>
      <c r="N71" s="398"/>
      <c r="O71" s="397"/>
      <c r="P71" s="398"/>
      <c r="Q71" s="398"/>
      <c r="R71" s="398"/>
      <c r="S71" s="398"/>
    </row>
    <row r="72" spans="1:19" s="277" customFormat="1" ht="22.5">
      <c r="A72" s="474"/>
      <c r="B72" s="474"/>
      <c r="C72" s="477" t="s">
        <v>309</v>
      </c>
      <c r="D72" s="478" t="str">
        <f>IF(('EntryData-ปฐมวัย(ตบช.1-12)'!F9="Auto-calculate"),"Auto-calculate",'EntryData-ปฐมวัย(ตบช.1-12)'!F9)</f>
        <v>Auto-calculate</v>
      </c>
      <c r="E72" s="476"/>
      <c r="F72" s="476"/>
      <c r="G72" s="476"/>
      <c r="H72" s="476"/>
      <c r="I72" s="476"/>
      <c r="J72" s="350"/>
      <c r="K72" s="276"/>
      <c r="L72" s="276"/>
      <c r="M72" s="398"/>
      <c r="N72" s="398"/>
      <c r="O72" s="397"/>
      <c r="P72" s="398"/>
      <c r="Q72" s="398"/>
      <c r="R72" s="398"/>
      <c r="S72" s="398"/>
    </row>
    <row r="73" spans="1:19" s="277" customFormat="1" ht="21">
      <c r="A73" s="479"/>
      <c r="B73" s="479"/>
      <c r="C73" s="350"/>
      <c r="D73" s="350"/>
      <c r="E73" s="350"/>
      <c r="F73" s="350"/>
      <c r="G73" s="350"/>
      <c r="I73" s="275"/>
      <c r="J73" s="276"/>
      <c r="M73" s="397"/>
      <c r="N73" s="398"/>
      <c r="O73" s="398"/>
      <c r="P73" s="398"/>
      <c r="Q73" s="398"/>
      <c r="R73" s="398"/>
      <c r="S73" s="398"/>
    </row>
    <row r="74" spans="1:19" s="277" customFormat="1" ht="21">
      <c r="A74" s="473" t="s">
        <v>517</v>
      </c>
      <c r="B74" s="473"/>
      <c r="C74" s="350"/>
      <c r="D74" s="350"/>
      <c r="E74" s="350"/>
      <c r="F74" s="350"/>
      <c r="G74" s="350"/>
      <c r="I74" s="275"/>
      <c r="J74" s="276"/>
      <c r="M74" s="397"/>
      <c r="N74" s="398"/>
      <c r="O74" s="398"/>
      <c r="P74" s="398"/>
      <c r="Q74" s="398"/>
      <c r="R74" s="398"/>
      <c r="S74" s="398"/>
    </row>
    <row r="75" spans="3:19" s="277" customFormat="1" ht="9.75" customHeight="1" thickBot="1">
      <c r="C75" s="350"/>
      <c r="D75" s="350"/>
      <c r="E75" s="350"/>
      <c r="F75" s="350"/>
      <c r="G75" s="350"/>
      <c r="I75" s="275"/>
      <c r="J75" s="276"/>
      <c r="M75" s="397"/>
      <c r="N75" s="398"/>
      <c r="O75" s="398"/>
      <c r="P75" s="398"/>
      <c r="Q75" s="398"/>
      <c r="R75" s="398"/>
      <c r="S75" s="398"/>
    </row>
    <row r="76" spans="1:19" s="277" customFormat="1" ht="21">
      <c r="A76" s="689" t="s">
        <v>688</v>
      </c>
      <c r="B76" s="690"/>
      <c r="C76" s="285" t="s">
        <v>644</v>
      </c>
      <c r="D76" s="285" t="s">
        <v>689</v>
      </c>
      <c r="E76" s="684" t="s">
        <v>697</v>
      </c>
      <c r="F76" s="685"/>
      <c r="G76" s="685"/>
      <c r="H76" s="685"/>
      <c r="I76" s="686"/>
      <c r="J76" s="350"/>
      <c r="K76" s="276"/>
      <c r="L76" s="276"/>
      <c r="M76" s="398"/>
      <c r="N76" s="398"/>
      <c r="O76" s="397"/>
      <c r="P76" s="398"/>
      <c r="Q76" s="398"/>
      <c r="R76" s="398"/>
      <c r="S76" s="398"/>
    </row>
    <row r="77" spans="1:19" s="277" customFormat="1" ht="42">
      <c r="A77" s="691"/>
      <c r="B77" s="692"/>
      <c r="C77" s="334" t="s">
        <v>831</v>
      </c>
      <c r="D77" s="334" t="s">
        <v>690</v>
      </c>
      <c r="E77" s="316" t="s">
        <v>691</v>
      </c>
      <c r="F77" s="316" t="s">
        <v>692</v>
      </c>
      <c r="G77" s="316" t="s">
        <v>822</v>
      </c>
      <c r="H77" s="316" t="s">
        <v>823</v>
      </c>
      <c r="I77" s="317" t="s">
        <v>824</v>
      </c>
      <c r="J77" s="350"/>
      <c r="K77" s="276"/>
      <c r="L77" s="276"/>
      <c r="M77" s="398"/>
      <c r="N77" s="398"/>
      <c r="O77" s="397"/>
      <c r="P77" s="398"/>
      <c r="Q77" s="398"/>
      <c r="R77" s="398"/>
      <c r="S77" s="398"/>
    </row>
    <row r="78" spans="1:19" s="277" customFormat="1" ht="21">
      <c r="A78" s="698" t="s">
        <v>518</v>
      </c>
      <c r="B78" s="699"/>
      <c r="C78" s="367">
        <v>2.5</v>
      </c>
      <c r="D78" s="367" t="str">
        <f>IF(('EntryData-ปฐมวัย(ตบช.1-12)'!E18="Auto-calculate"),"Auto-calculate",'EntryData-ปฐมวัย(ตบช.1-12)'!E18)</f>
        <v>Auto-calculate</v>
      </c>
      <c r="E78" s="363" t="str">
        <f>IF((D78="Auto-calculate"),":",IF((D78=0.5),"ü",""))</f>
        <v>:</v>
      </c>
      <c r="F78" s="363" t="str">
        <f>IF((D78="Auto-calculate"),":",IF((D78=1),"ü",""))</f>
        <v>:</v>
      </c>
      <c r="G78" s="363" t="str">
        <f>IF((D78="Auto-calculate"),":",IF((D78=1.5),"ü",""))</f>
        <v>:</v>
      </c>
      <c r="H78" s="363" t="str">
        <f>IF((D78="Auto-calculate"),":",IF((D78=2),"ü",""))</f>
        <v>:</v>
      </c>
      <c r="I78" s="364" t="str">
        <f>IF((D78="Auto-calculate"),":",IF((D78=2.5),"ü",""))</f>
        <v>:</v>
      </c>
      <c r="J78" s="350"/>
      <c r="K78" s="276"/>
      <c r="L78" s="276"/>
      <c r="M78" s="398"/>
      <c r="N78" s="398"/>
      <c r="O78" s="397"/>
      <c r="P78" s="398"/>
      <c r="Q78" s="398"/>
      <c r="R78" s="398"/>
      <c r="S78" s="398"/>
    </row>
    <row r="79" spans="1:19" s="277" customFormat="1" ht="21">
      <c r="A79" s="698" t="s">
        <v>519</v>
      </c>
      <c r="B79" s="699"/>
      <c r="C79" s="367">
        <v>2.5</v>
      </c>
      <c r="D79" s="367" t="str">
        <f>IF(('EntryData-ปฐมวัย(ตบช.1-12)'!E25="Auto-calculate"),"Auto-calculate",'EntryData-ปฐมวัย(ตบช.1-12)'!E25)</f>
        <v>Auto-calculate</v>
      </c>
      <c r="E79" s="363" t="str">
        <f>IF((D79="Auto-calculate"),":",IF((D79=0.5),"ü",""))</f>
        <v>:</v>
      </c>
      <c r="F79" s="363" t="str">
        <f>IF((D79="Auto-calculate"),":",IF((D79=1),"ü",""))</f>
        <v>:</v>
      </c>
      <c r="G79" s="363" t="str">
        <f>IF((D79="Auto-calculate"),":",IF((D79=1.5),"ü",""))</f>
        <v>:</v>
      </c>
      <c r="H79" s="363" t="str">
        <f>IF((D79="Auto-calculate"),":",IF((D79=2),"ü",""))</f>
        <v>:</v>
      </c>
      <c r="I79" s="364" t="str">
        <f>IF((D79="Auto-calculate"),":",IF((D79=2.5),"ü",""))</f>
        <v>:</v>
      </c>
      <c r="J79" s="350"/>
      <c r="K79" s="276"/>
      <c r="L79" s="276"/>
      <c r="M79" s="398"/>
      <c r="N79" s="398"/>
      <c r="O79" s="397"/>
      <c r="P79" s="398"/>
      <c r="Q79" s="398"/>
      <c r="R79" s="398"/>
      <c r="S79" s="398"/>
    </row>
    <row r="80" spans="1:19" s="277" customFormat="1" ht="21.75" thickBot="1">
      <c r="A80" s="680" t="s">
        <v>971</v>
      </c>
      <c r="B80" s="681"/>
      <c r="C80" s="368">
        <f>SUM(C78:C79)</f>
        <v>5</v>
      </c>
      <c r="D80" s="368" t="str">
        <f>IF(('EntryData-ปฐมวัย(ตบช.1-12)'!E17="Auto-calculate"),"Auto-calculate",'EntryData-ปฐมวัย(ตบช.1-12)'!E17)</f>
        <v>Auto-calculate</v>
      </c>
      <c r="E80" s="361" t="str">
        <f>IF((D80="Auto-calculate"),":",IF(AND((D80&gt;=0),(D80&lt;=2.49)),"ü",""))</f>
        <v>:</v>
      </c>
      <c r="F80" s="361" t="str">
        <f>IF((D80="Auto-calculate"),":",IF(AND((D80&gt;=2.5),(D80&lt;=2.99)),"ü",""))</f>
        <v>:</v>
      </c>
      <c r="G80" s="361" t="str">
        <f>IF((D80="Auto-calculate"),":",IF(AND((D80&gt;=3),(D80&lt;=3.74)),"ü",""))</f>
        <v>:</v>
      </c>
      <c r="H80" s="361" t="str">
        <f>IF((D80="Auto-calculate"),":",IF(AND((D80&gt;=3.75),(D80&lt;=4.49)),"ü",""))</f>
        <v>:</v>
      </c>
      <c r="I80" s="362" t="str">
        <f>IF((D80="Auto-calculate"),":",IF(AND((D80&gt;=4.5),(D80&lt;=5)),"ü",""))</f>
        <v>:</v>
      </c>
      <c r="J80" s="350"/>
      <c r="K80" s="276"/>
      <c r="L80" s="276"/>
      <c r="M80" s="398"/>
      <c r="N80" s="398"/>
      <c r="O80" s="397"/>
      <c r="P80" s="398"/>
      <c r="Q80" s="398"/>
      <c r="R80" s="398"/>
      <c r="S80" s="398"/>
    </row>
    <row r="81" spans="1:19" s="277" customFormat="1" ht="9.75" customHeight="1">
      <c r="A81" s="474"/>
      <c r="B81" s="474"/>
      <c r="C81" s="475"/>
      <c r="D81" s="475"/>
      <c r="E81" s="476"/>
      <c r="F81" s="476"/>
      <c r="G81" s="476"/>
      <c r="H81" s="476"/>
      <c r="I81" s="476"/>
      <c r="J81" s="350"/>
      <c r="K81" s="276"/>
      <c r="L81" s="276"/>
      <c r="M81" s="398"/>
      <c r="N81" s="398"/>
      <c r="O81" s="397"/>
      <c r="P81" s="398"/>
      <c r="Q81" s="398"/>
      <c r="R81" s="398"/>
      <c r="S81" s="398"/>
    </row>
    <row r="82" spans="1:19" s="277" customFormat="1" ht="22.5">
      <c r="A82" s="474"/>
      <c r="B82" s="474"/>
      <c r="C82" s="477" t="s">
        <v>308</v>
      </c>
      <c r="D82" s="478" t="str">
        <f>IF(('EntryData-ปฐมวัย(ตบช.1-12)'!F17="Auto-calculate"),"Auto-calculate",'EntryData-ปฐมวัย(ตบช.1-12)'!F17)</f>
        <v>Auto-calculate</v>
      </c>
      <c r="E82" s="476"/>
      <c r="F82" s="476"/>
      <c r="G82" s="476"/>
      <c r="H82" s="476"/>
      <c r="I82" s="476"/>
      <c r="J82" s="350"/>
      <c r="K82" s="276"/>
      <c r="L82" s="276"/>
      <c r="M82" s="398"/>
      <c r="N82" s="398"/>
      <c r="O82" s="397"/>
      <c r="P82" s="398"/>
      <c r="Q82" s="398"/>
      <c r="R82" s="398"/>
      <c r="S82" s="398"/>
    </row>
    <row r="83" spans="1:19" s="277" customFormat="1" ht="21">
      <c r="A83" s="474"/>
      <c r="B83" s="474"/>
      <c r="C83" s="475"/>
      <c r="D83" s="475"/>
      <c r="E83" s="476"/>
      <c r="F83" s="476"/>
      <c r="G83" s="476"/>
      <c r="H83" s="476"/>
      <c r="I83" s="476"/>
      <c r="J83" s="350"/>
      <c r="K83" s="276"/>
      <c r="L83" s="276"/>
      <c r="M83" s="398"/>
      <c r="N83" s="398"/>
      <c r="O83" s="397"/>
      <c r="P83" s="398"/>
      <c r="Q83" s="398"/>
      <c r="R83" s="398"/>
      <c r="S83" s="398"/>
    </row>
    <row r="84" spans="1:19" s="277" customFormat="1" ht="21">
      <c r="A84" s="473" t="s">
        <v>520</v>
      </c>
      <c r="B84" s="473"/>
      <c r="C84" s="350"/>
      <c r="D84" s="350"/>
      <c r="E84" s="350"/>
      <c r="F84" s="350"/>
      <c r="G84" s="350"/>
      <c r="I84" s="275"/>
      <c r="J84" s="276"/>
      <c r="M84" s="397"/>
      <c r="N84" s="398"/>
      <c r="O84" s="398"/>
      <c r="P84" s="398"/>
      <c r="Q84" s="398"/>
      <c r="R84" s="398"/>
      <c r="S84" s="398"/>
    </row>
    <row r="85" spans="3:19" s="277" customFormat="1" ht="9.75" customHeight="1" thickBot="1">
      <c r="C85" s="350"/>
      <c r="D85" s="350"/>
      <c r="E85" s="350"/>
      <c r="F85" s="350"/>
      <c r="G85" s="350"/>
      <c r="I85" s="275"/>
      <c r="J85" s="276"/>
      <c r="M85" s="397"/>
      <c r="N85" s="398"/>
      <c r="O85" s="398"/>
      <c r="P85" s="398"/>
      <c r="Q85" s="398"/>
      <c r="R85" s="398"/>
      <c r="S85" s="398"/>
    </row>
    <row r="86" spans="1:19" s="277" customFormat="1" ht="21">
      <c r="A86" s="689" t="s">
        <v>688</v>
      </c>
      <c r="B86" s="690"/>
      <c r="C86" s="285" t="s">
        <v>644</v>
      </c>
      <c r="D86" s="285" t="s">
        <v>689</v>
      </c>
      <c r="E86" s="684" t="s">
        <v>697</v>
      </c>
      <c r="F86" s="685"/>
      <c r="G86" s="685"/>
      <c r="H86" s="685"/>
      <c r="I86" s="686"/>
      <c r="J86" s="350"/>
      <c r="K86" s="276"/>
      <c r="L86" s="276"/>
      <c r="M86" s="398"/>
      <c r="N86" s="398"/>
      <c r="O86" s="397"/>
      <c r="P86" s="398"/>
      <c r="Q86" s="398"/>
      <c r="R86" s="398"/>
      <c r="S86" s="398"/>
    </row>
    <row r="87" spans="1:19" s="277" customFormat="1" ht="42">
      <c r="A87" s="691"/>
      <c r="B87" s="692"/>
      <c r="C87" s="334" t="s">
        <v>831</v>
      </c>
      <c r="D87" s="334" t="s">
        <v>690</v>
      </c>
      <c r="E87" s="316" t="s">
        <v>691</v>
      </c>
      <c r="F87" s="316" t="s">
        <v>692</v>
      </c>
      <c r="G87" s="316" t="s">
        <v>822</v>
      </c>
      <c r="H87" s="316" t="s">
        <v>823</v>
      </c>
      <c r="I87" s="317" t="s">
        <v>824</v>
      </c>
      <c r="J87" s="350"/>
      <c r="K87" s="276"/>
      <c r="L87" s="276"/>
      <c r="M87" s="398"/>
      <c r="N87" s="398"/>
      <c r="O87" s="397"/>
      <c r="P87" s="398"/>
      <c r="Q87" s="398"/>
      <c r="R87" s="398"/>
      <c r="S87" s="398"/>
    </row>
    <row r="88" spans="1:19" s="277" customFormat="1" ht="21">
      <c r="A88" s="698" t="s">
        <v>521</v>
      </c>
      <c r="B88" s="699"/>
      <c r="C88" s="367">
        <v>2.5</v>
      </c>
      <c r="D88" s="367" t="str">
        <f>IF(('EntryData-ปฐมวัย(ตบช.1-12)'!E29="Auto-calculate"),"Auto-calculate",'EntryData-ปฐมวัย(ตบช.1-12)'!E29)</f>
        <v>Auto-calculate</v>
      </c>
      <c r="E88" s="363" t="str">
        <f>IF((D88="Auto-calculate"),":",IF((D88=0.5),"ü",""))</f>
        <v>:</v>
      </c>
      <c r="F88" s="363" t="str">
        <f>IF((D88="Auto-calculate"),":",IF((D88=1),"ü",""))</f>
        <v>:</v>
      </c>
      <c r="G88" s="363" t="str">
        <f>IF((D88="Auto-calculate"),":",IF((D88=1.5),"ü",""))</f>
        <v>:</v>
      </c>
      <c r="H88" s="363" t="str">
        <f>IF((D88="Auto-calculate"),":",IF((D88=2),"ü",""))</f>
        <v>:</v>
      </c>
      <c r="I88" s="364" t="str">
        <f>IF((D88="Auto-calculate"),":",IF((D88=2.5),"ü",""))</f>
        <v>:</v>
      </c>
      <c r="J88" s="350"/>
      <c r="K88" s="276"/>
      <c r="L88" s="276"/>
      <c r="M88" s="398"/>
      <c r="N88" s="398"/>
      <c r="O88" s="397"/>
      <c r="P88" s="398"/>
      <c r="Q88" s="398"/>
      <c r="R88" s="398"/>
      <c r="S88" s="398"/>
    </row>
    <row r="89" spans="1:19" s="277" customFormat="1" ht="21">
      <c r="A89" s="698" t="s">
        <v>522</v>
      </c>
      <c r="B89" s="699"/>
      <c r="C89" s="367">
        <v>2.5</v>
      </c>
      <c r="D89" s="367" t="str">
        <f>IF(('EntryData-ปฐมวัย(ตบช.1-12)'!E35="Auto-calculate"),"Auto-calculate",'EntryData-ปฐมวัย(ตบช.1-12)'!E35)</f>
        <v>Auto-calculate</v>
      </c>
      <c r="E89" s="363" t="str">
        <f>IF((D89="Auto-calculate"),":",IF((D89=0.5),"ü",""))</f>
        <v>:</v>
      </c>
      <c r="F89" s="363" t="str">
        <f>IF((D89="Auto-calculate"),":",IF((D89=1),"ü",""))</f>
        <v>:</v>
      </c>
      <c r="G89" s="363" t="str">
        <f>IF((D89="Auto-calculate"),":",IF((D89=1.5),"ü",""))</f>
        <v>:</v>
      </c>
      <c r="H89" s="363" t="str">
        <f>IF((D89="Auto-calculate"),":",IF((D89=2),"ü",""))</f>
        <v>:</v>
      </c>
      <c r="I89" s="364" t="str">
        <f>IF((D89="Auto-calculate"),":",IF((D89=2.5),"ü",""))</f>
        <v>:</v>
      </c>
      <c r="J89" s="350"/>
      <c r="K89" s="276"/>
      <c r="L89" s="276"/>
      <c r="M89" s="398"/>
      <c r="N89" s="398"/>
      <c r="O89" s="397"/>
      <c r="P89" s="398"/>
      <c r="Q89" s="398"/>
      <c r="R89" s="398"/>
      <c r="S89" s="398"/>
    </row>
    <row r="90" spans="1:19" s="277" customFormat="1" ht="21.75" thickBot="1">
      <c r="A90" s="680" t="s">
        <v>972</v>
      </c>
      <c r="B90" s="681"/>
      <c r="C90" s="368">
        <f>SUM(C88:C89)</f>
        <v>5</v>
      </c>
      <c r="D90" s="368" t="str">
        <f>IF(('EntryData-ปฐมวัย(ตบช.1-12)'!E28="Auto-calculate"),"Auto-calculate",'EntryData-ปฐมวัย(ตบช.1-12)'!E28)</f>
        <v>Auto-calculate</v>
      </c>
      <c r="E90" s="361" t="str">
        <f>IF((D90="Auto-calculate"),":",IF(AND((D90&gt;=0),(D90&lt;=2.49)),"ü",""))</f>
        <v>:</v>
      </c>
      <c r="F90" s="361" t="str">
        <f>IF((D90="Auto-calculate"),":",IF(AND((D90&gt;=2.5),(D90&lt;=2.99)),"ü",""))</f>
        <v>:</v>
      </c>
      <c r="G90" s="361" t="str">
        <f>IF((D90="Auto-calculate"),":",IF(AND((D90&gt;=3),(D90&lt;=3.74)),"ü",""))</f>
        <v>:</v>
      </c>
      <c r="H90" s="361" t="str">
        <f>IF((D90="Auto-calculate"),":",IF(AND((D90&gt;=3.75),(D90&lt;=4.49)),"ü",""))</f>
        <v>:</v>
      </c>
      <c r="I90" s="362" t="str">
        <f>IF((D90="Auto-calculate"),":",IF(AND((D90&gt;=4.5),(D90&lt;=5)),"ü",""))</f>
        <v>:</v>
      </c>
      <c r="J90" s="350"/>
      <c r="K90" s="276"/>
      <c r="L90" s="276"/>
      <c r="M90" s="398"/>
      <c r="N90" s="398"/>
      <c r="O90" s="397"/>
      <c r="P90" s="398"/>
      <c r="Q90" s="398"/>
      <c r="R90" s="398"/>
      <c r="S90" s="398"/>
    </row>
    <row r="91" spans="1:19" s="277" customFormat="1" ht="11.25" customHeight="1">
      <c r="A91" s="474"/>
      <c r="B91" s="474"/>
      <c r="C91" s="475"/>
      <c r="D91" s="475"/>
      <c r="E91" s="476"/>
      <c r="F91" s="476"/>
      <c r="G91" s="476"/>
      <c r="H91" s="476"/>
      <c r="I91" s="476"/>
      <c r="J91" s="350"/>
      <c r="K91" s="276"/>
      <c r="L91" s="276"/>
      <c r="M91" s="398"/>
      <c r="N91" s="398"/>
      <c r="O91" s="397"/>
      <c r="P91" s="398"/>
      <c r="Q91" s="398"/>
      <c r="R91" s="398"/>
      <c r="S91" s="398"/>
    </row>
    <row r="92" spans="1:19" s="277" customFormat="1" ht="22.5">
      <c r="A92" s="474"/>
      <c r="C92" s="477" t="s">
        <v>307</v>
      </c>
      <c r="D92" s="478" t="str">
        <f>IF(('EntryData-ปฐมวัย(ตบช.1-12)'!F28="Auto-calculate"),"Auto-calculate",'EntryData-ปฐมวัย(ตบช.1-12)'!F28)</f>
        <v>Auto-calculate</v>
      </c>
      <c r="E92" s="350"/>
      <c r="F92" s="476"/>
      <c r="G92" s="476"/>
      <c r="H92" s="476"/>
      <c r="I92" s="476"/>
      <c r="J92" s="350"/>
      <c r="K92" s="276"/>
      <c r="L92" s="276"/>
      <c r="M92" s="398"/>
      <c r="N92" s="398"/>
      <c r="O92" s="397"/>
      <c r="P92" s="398"/>
      <c r="Q92" s="398"/>
      <c r="R92" s="398"/>
      <c r="S92" s="398"/>
    </row>
    <row r="93" spans="1:19" s="277" customFormat="1" ht="21">
      <c r="A93" s="474"/>
      <c r="B93" s="474"/>
      <c r="C93" s="475"/>
      <c r="D93" s="475"/>
      <c r="E93" s="476"/>
      <c r="F93" s="476"/>
      <c r="G93" s="476"/>
      <c r="H93" s="476"/>
      <c r="I93" s="476"/>
      <c r="J93" s="350"/>
      <c r="K93" s="276"/>
      <c r="L93" s="276"/>
      <c r="M93" s="398"/>
      <c r="N93" s="398"/>
      <c r="O93" s="397"/>
      <c r="P93" s="398"/>
      <c r="Q93" s="398"/>
      <c r="R93" s="398"/>
      <c r="S93" s="398"/>
    </row>
    <row r="94" spans="1:19" s="277" customFormat="1" ht="21">
      <c r="A94" s="473" t="s">
        <v>523</v>
      </c>
      <c r="B94" s="473"/>
      <c r="C94" s="350"/>
      <c r="D94" s="350"/>
      <c r="E94" s="350"/>
      <c r="F94" s="350"/>
      <c r="G94" s="350"/>
      <c r="I94" s="275"/>
      <c r="J94" s="276"/>
      <c r="M94" s="397"/>
      <c r="N94" s="398"/>
      <c r="O94" s="398"/>
      <c r="P94" s="398"/>
      <c r="Q94" s="398"/>
      <c r="R94" s="398"/>
      <c r="S94" s="398"/>
    </row>
    <row r="95" spans="3:19" s="277" customFormat="1" ht="9.75" customHeight="1" thickBot="1">
      <c r="C95" s="350"/>
      <c r="D95" s="350"/>
      <c r="E95" s="350"/>
      <c r="F95" s="350"/>
      <c r="G95" s="350"/>
      <c r="I95" s="275"/>
      <c r="J95" s="276"/>
      <c r="M95" s="397"/>
      <c r="N95" s="398"/>
      <c r="O95" s="398"/>
      <c r="P95" s="398"/>
      <c r="Q95" s="398"/>
      <c r="R95" s="398"/>
      <c r="S95" s="398"/>
    </row>
    <row r="96" spans="1:19" s="277" customFormat="1" ht="21">
      <c r="A96" s="689" t="s">
        <v>688</v>
      </c>
      <c r="B96" s="690"/>
      <c r="C96" s="285" t="s">
        <v>644</v>
      </c>
      <c r="D96" s="285" t="s">
        <v>689</v>
      </c>
      <c r="E96" s="684" t="s">
        <v>697</v>
      </c>
      <c r="F96" s="685"/>
      <c r="G96" s="685"/>
      <c r="H96" s="685"/>
      <c r="I96" s="686"/>
      <c r="J96" s="350"/>
      <c r="K96" s="276"/>
      <c r="L96" s="276"/>
      <c r="M96" s="398"/>
      <c r="N96" s="398"/>
      <c r="O96" s="397"/>
      <c r="P96" s="398"/>
      <c r="Q96" s="398"/>
      <c r="R96" s="398"/>
      <c r="S96" s="398"/>
    </row>
    <row r="97" spans="1:19" s="277" customFormat="1" ht="42">
      <c r="A97" s="691"/>
      <c r="B97" s="692"/>
      <c r="C97" s="333" t="s">
        <v>831</v>
      </c>
      <c r="D97" s="334" t="s">
        <v>690</v>
      </c>
      <c r="E97" s="316" t="s">
        <v>691</v>
      </c>
      <c r="F97" s="316" t="s">
        <v>692</v>
      </c>
      <c r="G97" s="316" t="s">
        <v>822</v>
      </c>
      <c r="H97" s="316" t="s">
        <v>823</v>
      </c>
      <c r="I97" s="317" t="s">
        <v>824</v>
      </c>
      <c r="J97" s="350"/>
      <c r="K97" s="276"/>
      <c r="L97" s="276"/>
      <c r="M97" s="398"/>
      <c r="N97" s="398"/>
      <c r="O97" s="397"/>
      <c r="P97" s="398"/>
      <c r="Q97" s="398"/>
      <c r="R97" s="398"/>
      <c r="S97" s="398"/>
    </row>
    <row r="98" spans="1:19" s="277" customFormat="1" ht="21">
      <c r="A98" s="687" t="s">
        <v>524</v>
      </c>
      <c r="B98" s="688"/>
      <c r="C98" s="367">
        <v>2.5</v>
      </c>
      <c r="D98" s="367" t="str">
        <f>IF(('EntryData-ปฐมวัย(ตบช.1-12)'!E41="Auto-calculate"),"Auto-calculate",'EntryData-ปฐมวัย(ตบช.1-12)'!E41)</f>
        <v>Auto-calculate</v>
      </c>
      <c r="E98" s="363" t="str">
        <f>IF((D98="Auto-calculate"),":",IF((D98=0.5),"ü",""))</f>
        <v>:</v>
      </c>
      <c r="F98" s="363" t="str">
        <f>IF((D98="Auto-calculate"),":",IF((D98=1),"ü",""))</f>
        <v>:</v>
      </c>
      <c r="G98" s="363" t="str">
        <f>IF((D98="Auto-calculate"),":",IF((D98=1.5),"ü",""))</f>
        <v>:</v>
      </c>
      <c r="H98" s="363" t="str">
        <f>IF((D98="Auto-calculate"),":",IF((D98=2),"ü",""))</f>
        <v>:</v>
      </c>
      <c r="I98" s="364" t="str">
        <f>IF((D98="Auto-calculate"),":",IF((D98=2.5),"ü",""))</f>
        <v>:</v>
      </c>
      <c r="J98" s="350"/>
      <c r="K98" s="276"/>
      <c r="L98" s="276"/>
      <c r="M98" s="398"/>
      <c r="N98" s="398"/>
      <c r="O98" s="397"/>
      <c r="P98" s="398"/>
      <c r="Q98" s="398"/>
      <c r="R98" s="398"/>
      <c r="S98" s="398"/>
    </row>
    <row r="99" spans="1:19" s="277" customFormat="1" ht="21">
      <c r="A99" s="687" t="s">
        <v>525</v>
      </c>
      <c r="B99" s="688"/>
      <c r="C99" s="367">
        <v>2.5</v>
      </c>
      <c r="D99" s="367" t="str">
        <f>IF(('EntryData-ปฐมวัย(ตบช.1-12)'!E44="Auto-calculate"),"Auto-calculate",'EntryData-ปฐมวัย(ตบช.1-12)'!E44)</f>
        <v>Auto-calculate</v>
      </c>
      <c r="E99" s="363" t="str">
        <f>IF((D99="Auto-calculate"),":",IF((D99=0.5),"ü",""))</f>
        <v>:</v>
      </c>
      <c r="F99" s="363" t="str">
        <f>IF((D99="Auto-calculate"),":",IF((D99=1),"ü",""))</f>
        <v>:</v>
      </c>
      <c r="G99" s="363" t="str">
        <f>IF((D99="Auto-calculate"),":",IF((D99=1.5),"ü",""))</f>
        <v>:</v>
      </c>
      <c r="H99" s="363" t="str">
        <f>IF((D99="Auto-calculate"),":",IF((D99=2),"ü",""))</f>
        <v>:</v>
      </c>
      <c r="I99" s="364" t="str">
        <f>IF((D99="Auto-calculate"),":",IF((D99=2.5),"ü",""))</f>
        <v>:</v>
      </c>
      <c r="J99" s="350"/>
      <c r="K99" s="276"/>
      <c r="L99" s="276"/>
      <c r="M99" s="398"/>
      <c r="N99" s="398"/>
      <c r="O99" s="397"/>
      <c r="P99" s="398"/>
      <c r="Q99" s="398"/>
      <c r="R99" s="398"/>
      <c r="S99" s="398"/>
    </row>
    <row r="100" spans="1:19" s="277" customFormat="1" ht="21">
      <c r="A100" s="687" t="s">
        <v>526</v>
      </c>
      <c r="B100" s="688"/>
      <c r="C100" s="367">
        <v>2.5</v>
      </c>
      <c r="D100" s="367" t="str">
        <f>IF(('EntryData-ปฐมวัย(ตบช.1-12)'!E49="Auto-calculate"),"Auto-calculate",'EntryData-ปฐมวัย(ตบช.1-12)'!E49)</f>
        <v>Auto-calculate</v>
      </c>
      <c r="E100" s="363" t="str">
        <f>IF((D100="Auto-calculate"),":",IF((D100=0.5),"ü",""))</f>
        <v>:</v>
      </c>
      <c r="F100" s="363" t="str">
        <f>IF((D100="Auto-calculate"),":",IF((D100=1),"ü",""))</f>
        <v>:</v>
      </c>
      <c r="G100" s="363" t="str">
        <f>IF((D100="Auto-calculate"),":",IF((D100=1.5),"ü",""))</f>
        <v>:</v>
      </c>
      <c r="H100" s="363" t="str">
        <f>IF((D100="Auto-calculate"),":",IF((D100=2),"ü",""))</f>
        <v>:</v>
      </c>
      <c r="I100" s="364" t="str">
        <f>IF((D100="Auto-calculate"),":",IF((D100=2.5),"ü",""))</f>
        <v>:</v>
      </c>
      <c r="J100" s="350"/>
      <c r="K100" s="276"/>
      <c r="L100" s="276"/>
      <c r="M100" s="398"/>
      <c r="N100" s="398"/>
      <c r="O100" s="397"/>
      <c r="P100" s="398"/>
      <c r="Q100" s="398"/>
      <c r="R100" s="398"/>
      <c r="S100" s="398"/>
    </row>
    <row r="101" spans="1:19" s="277" customFormat="1" ht="21">
      <c r="A101" s="687" t="s">
        <v>527</v>
      </c>
      <c r="B101" s="688"/>
      <c r="C101" s="367">
        <v>2.5</v>
      </c>
      <c r="D101" s="367" t="str">
        <f>IF(('EntryData-ปฐมวัย(ตบช.1-12)'!E54="Auto-calculate"),"Auto-calculate",'EntryData-ปฐมวัย(ตบช.1-12)'!E54)</f>
        <v>Auto-calculate</v>
      </c>
      <c r="E101" s="363" t="str">
        <f>IF((D101="Auto-calculate"),":",IF((D101=0.5),"ü",""))</f>
        <v>:</v>
      </c>
      <c r="F101" s="363" t="str">
        <f>IF((D101="Auto-calculate"),":",IF((D101=1),"ü",""))</f>
        <v>:</v>
      </c>
      <c r="G101" s="363" t="str">
        <f>IF((D101="Auto-calculate"),":",IF((D101=1.5),"ü",""))</f>
        <v>:</v>
      </c>
      <c r="H101" s="363" t="str">
        <f>IF((D101="Auto-calculate"),":",IF((D101=2),"ü",""))</f>
        <v>:</v>
      </c>
      <c r="I101" s="364" t="str">
        <f>IF((D101="Auto-calculate"),":",IF((D101=2.5),"ü",""))</f>
        <v>:</v>
      </c>
      <c r="J101" s="350"/>
      <c r="K101" s="276"/>
      <c r="L101" s="276"/>
      <c r="M101" s="398"/>
      <c r="N101" s="398"/>
      <c r="O101" s="397"/>
      <c r="P101" s="398"/>
      <c r="Q101" s="398"/>
      <c r="R101" s="398"/>
      <c r="S101" s="398"/>
    </row>
    <row r="102" spans="1:19" s="484" customFormat="1" ht="21.75" thickBot="1">
      <c r="A102" s="680" t="s">
        <v>973</v>
      </c>
      <c r="B102" s="681"/>
      <c r="C102" s="480">
        <f>SUM(C98:C101)</f>
        <v>10</v>
      </c>
      <c r="D102" s="481" t="str">
        <f>IF(('EntryData-ปฐมวัย(ตบช.1-12)'!E40="Auto-calculate"),"Auto-calculate",'EntryData-ปฐมวัย(ตบช.1-12)'!E40)</f>
        <v>Auto-calculate</v>
      </c>
      <c r="E102" s="361" t="str">
        <f>IF((D102="Auto-calculate"),":",IF(AND((D102&gt;=0),(D102&lt;=4.99)),"ü",""))</f>
        <v>:</v>
      </c>
      <c r="F102" s="361" t="str">
        <f>IF((D102="Auto-calculate"),":",IF(AND((D102&gt;=5),(D102&lt;=5.99)),"ü",""))</f>
        <v>:</v>
      </c>
      <c r="G102" s="361" t="str">
        <f>IF((D102="Auto-calculate"),":",IF(AND((D102&gt;=6),(D102&lt;=7.49)),"ü",""))</f>
        <v>:</v>
      </c>
      <c r="H102" s="361" t="str">
        <f>IF((D102="Auto-calculate"),":",IF(AND((D102&gt;=7.5),(D102&lt;=8.99)),"ü",""))</f>
        <v>:</v>
      </c>
      <c r="I102" s="362" t="str">
        <f>IF((D102="Auto-calculate"),":",IF(AND((D102&gt;=9),(D102&lt;=10)),"ü",""))</f>
        <v>:</v>
      </c>
      <c r="J102" s="275"/>
      <c r="K102" s="276"/>
      <c r="L102" s="276"/>
      <c r="M102" s="482"/>
      <c r="N102" s="482"/>
      <c r="O102" s="483"/>
      <c r="P102" s="482"/>
      <c r="Q102" s="482"/>
      <c r="R102" s="482"/>
      <c r="S102" s="482"/>
    </row>
    <row r="103" spans="1:19" s="277" customFormat="1" ht="11.25" customHeight="1">
      <c r="A103" s="474"/>
      <c r="B103" s="474"/>
      <c r="C103" s="475"/>
      <c r="D103" s="475"/>
      <c r="E103" s="476"/>
      <c r="F103" s="476"/>
      <c r="G103" s="476"/>
      <c r="H103" s="476"/>
      <c r="I103" s="476"/>
      <c r="J103" s="350"/>
      <c r="K103" s="276"/>
      <c r="L103" s="276"/>
      <c r="M103" s="398"/>
      <c r="N103" s="398"/>
      <c r="O103" s="397"/>
      <c r="P103" s="398"/>
      <c r="Q103" s="398"/>
      <c r="R103" s="398"/>
      <c r="S103" s="398"/>
    </row>
    <row r="104" spans="1:19" s="277" customFormat="1" ht="22.5">
      <c r="A104" s="474"/>
      <c r="B104" s="474"/>
      <c r="C104" s="477" t="s">
        <v>306</v>
      </c>
      <c r="D104" s="478" t="str">
        <f>IF(('EntryData-ปฐมวัย(ตบช.1-12)'!F40="Auto-calculate"),"Auto-calculate",'EntryData-ปฐมวัย(ตบช.1-12)'!F40)</f>
        <v>Auto-calculate</v>
      </c>
      <c r="E104" s="350"/>
      <c r="F104" s="476"/>
      <c r="G104" s="476"/>
      <c r="H104" s="476"/>
      <c r="I104" s="476"/>
      <c r="J104" s="350"/>
      <c r="K104" s="276"/>
      <c r="L104" s="276"/>
      <c r="M104" s="398"/>
      <c r="N104" s="398"/>
      <c r="O104" s="397"/>
      <c r="P104" s="398"/>
      <c r="Q104" s="398"/>
      <c r="R104" s="398"/>
      <c r="S104" s="398"/>
    </row>
    <row r="105" spans="1:19" s="277" customFormat="1" ht="21">
      <c r="A105" s="474"/>
      <c r="B105" s="474"/>
      <c r="C105" s="475"/>
      <c r="D105" s="475"/>
      <c r="E105" s="476"/>
      <c r="F105" s="476"/>
      <c r="G105" s="476"/>
      <c r="H105" s="476"/>
      <c r="I105" s="476"/>
      <c r="J105" s="350"/>
      <c r="K105" s="276"/>
      <c r="L105" s="276"/>
      <c r="M105" s="398"/>
      <c r="N105" s="398"/>
      <c r="O105" s="397"/>
      <c r="P105" s="398"/>
      <c r="Q105" s="398"/>
      <c r="R105" s="398"/>
      <c r="S105" s="398"/>
    </row>
    <row r="106" spans="1:19" s="277" customFormat="1" ht="21">
      <c r="A106" s="473" t="s">
        <v>528</v>
      </c>
      <c r="B106" s="473"/>
      <c r="C106" s="350"/>
      <c r="D106" s="350"/>
      <c r="E106" s="350"/>
      <c r="F106" s="350"/>
      <c r="G106" s="350"/>
      <c r="I106" s="275"/>
      <c r="J106" s="276"/>
      <c r="M106" s="397"/>
      <c r="N106" s="398"/>
      <c r="O106" s="398"/>
      <c r="P106" s="398"/>
      <c r="Q106" s="398"/>
      <c r="R106" s="398"/>
      <c r="S106" s="398"/>
    </row>
    <row r="107" spans="3:19" s="277" customFormat="1" ht="9.75" customHeight="1" thickBot="1">
      <c r="C107" s="350"/>
      <c r="D107" s="350"/>
      <c r="E107" s="350"/>
      <c r="F107" s="350"/>
      <c r="G107" s="350"/>
      <c r="I107" s="275"/>
      <c r="J107" s="276"/>
      <c r="M107" s="397"/>
      <c r="N107" s="398"/>
      <c r="O107" s="398"/>
      <c r="P107" s="398"/>
      <c r="Q107" s="398"/>
      <c r="R107" s="398"/>
      <c r="S107" s="398"/>
    </row>
    <row r="108" spans="1:19" s="277" customFormat="1" ht="21">
      <c r="A108" s="689" t="s">
        <v>688</v>
      </c>
      <c r="B108" s="690"/>
      <c r="C108" s="285" t="s">
        <v>644</v>
      </c>
      <c r="D108" s="285" t="s">
        <v>689</v>
      </c>
      <c r="E108" s="684" t="s">
        <v>697</v>
      </c>
      <c r="F108" s="685"/>
      <c r="G108" s="685"/>
      <c r="H108" s="685"/>
      <c r="I108" s="686"/>
      <c r="J108" s="350"/>
      <c r="K108" s="276"/>
      <c r="L108" s="276"/>
      <c r="M108" s="398"/>
      <c r="N108" s="398"/>
      <c r="O108" s="397"/>
      <c r="P108" s="398"/>
      <c r="Q108" s="398"/>
      <c r="R108" s="398"/>
      <c r="S108" s="398"/>
    </row>
    <row r="109" spans="1:19" s="277" customFormat="1" ht="42">
      <c r="A109" s="691"/>
      <c r="B109" s="692"/>
      <c r="C109" s="334" t="s">
        <v>831</v>
      </c>
      <c r="D109" s="334" t="s">
        <v>690</v>
      </c>
      <c r="E109" s="316" t="s">
        <v>691</v>
      </c>
      <c r="F109" s="316" t="s">
        <v>692</v>
      </c>
      <c r="G109" s="316" t="s">
        <v>822</v>
      </c>
      <c r="H109" s="316" t="s">
        <v>823</v>
      </c>
      <c r="I109" s="317" t="s">
        <v>824</v>
      </c>
      <c r="J109" s="350"/>
      <c r="K109" s="276"/>
      <c r="L109" s="276"/>
      <c r="M109" s="398"/>
      <c r="N109" s="398"/>
      <c r="O109" s="397"/>
      <c r="P109" s="398"/>
      <c r="Q109" s="398"/>
      <c r="R109" s="398"/>
      <c r="S109" s="398"/>
    </row>
    <row r="110" spans="1:19" s="277" customFormat="1" ht="21">
      <c r="A110" s="687" t="s">
        <v>529</v>
      </c>
      <c r="B110" s="688"/>
      <c r="C110" s="367">
        <v>5</v>
      </c>
      <c r="D110" s="367" t="str">
        <f>IF(('EntryData-ปฐมวัย(ตบช.1-12)'!E58="Auto-calculate"),"Auto-calculate",'EntryData-ปฐมวัย(ตบช.1-12)'!E58)</f>
        <v>Auto-calculate</v>
      </c>
      <c r="E110" s="363" t="str">
        <f>IF((D110="Auto-calculate"),":",IF((D110=1),"ü",""))</f>
        <v>:</v>
      </c>
      <c r="F110" s="363" t="str">
        <f>IF((D110="Auto-calculate"),":",IF((D110=2),"ü",""))</f>
        <v>:</v>
      </c>
      <c r="G110" s="363" t="str">
        <f>IF((D110="Auto-calculate"),":",IF((D110=3),"ü",""))</f>
        <v>:</v>
      </c>
      <c r="H110" s="363" t="str">
        <f>IF((D110="Auto-calculate"),":",IF((D110=4),"ü",""))</f>
        <v>:</v>
      </c>
      <c r="I110" s="364" t="str">
        <f>IF((D110="Auto-calculate"),":",IF((D110=5),"ü",""))</f>
        <v>:</v>
      </c>
      <c r="J110" s="350"/>
      <c r="K110" s="276"/>
      <c r="L110" s="276"/>
      <c r="M110" s="398"/>
      <c r="N110" s="398"/>
      <c r="O110" s="397"/>
      <c r="P110" s="398"/>
      <c r="Q110" s="398"/>
      <c r="R110" s="398"/>
      <c r="S110" s="398"/>
    </row>
    <row r="111" spans="1:19" s="277" customFormat="1" ht="21">
      <c r="A111" s="687" t="s">
        <v>530</v>
      </c>
      <c r="B111" s="688"/>
      <c r="C111" s="367">
        <v>5</v>
      </c>
      <c r="D111" s="367" t="str">
        <f>IF(('EntryData-ปฐมวัย(ตบช.1-12)'!E75="Auto-calculate"),"Auto-calculate",'EntryData-ปฐมวัย(ตบช.1-12)'!E75)</f>
        <v>Auto-calculate</v>
      </c>
      <c r="E111" s="363" t="str">
        <f>IF((D111="Auto-calculate"),":",IF((D111=1),"ü",""))</f>
        <v>:</v>
      </c>
      <c r="F111" s="363" t="str">
        <f>IF((D111="Auto-calculate"),":",IF((D111=2),"ü",""))</f>
        <v>:</v>
      </c>
      <c r="G111" s="363" t="str">
        <f>IF((D111="Auto-calculate"),":",IF((D111=3),"ü",""))</f>
        <v>:</v>
      </c>
      <c r="H111" s="363" t="str">
        <f>IF((D111="Auto-calculate"),":",IF((D111=4),"ü",""))</f>
        <v>:</v>
      </c>
      <c r="I111" s="364" t="str">
        <f>IF((D111="Auto-calculate"),":",IF((D111=5),"ü",""))</f>
        <v>:</v>
      </c>
      <c r="J111" s="350"/>
      <c r="K111" s="276"/>
      <c r="L111" s="276"/>
      <c r="M111" s="398"/>
      <c r="N111" s="398"/>
      <c r="O111" s="397"/>
      <c r="P111" s="398"/>
      <c r="Q111" s="398"/>
      <c r="R111" s="398"/>
      <c r="S111" s="398"/>
    </row>
    <row r="112" spans="1:19" s="484" customFormat="1" ht="21.75" thickBot="1">
      <c r="A112" s="680" t="s">
        <v>974</v>
      </c>
      <c r="B112" s="681"/>
      <c r="C112" s="481">
        <f>SUM(C110:C111)</f>
        <v>10</v>
      </c>
      <c r="D112" s="481" t="str">
        <f>IF(('EntryData-ปฐมวัย(ตบช.1-12)'!E57="Auto-calculate"),"Auto-calculate",'EntryData-ปฐมวัย(ตบช.1-12)'!E57)</f>
        <v>Auto-calculate</v>
      </c>
      <c r="E112" s="361" t="str">
        <f>IF((D112="Auto-calculate"),":",IF(AND((D112&gt;=0),(D112&lt;=4.99)),"ü",""))</f>
        <v>:</v>
      </c>
      <c r="F112" s="361" t="str">
        <f>IF((D112="Auto-calculate"),":",IF(AND((D112&gt;=5),(D112&lt;=5.99)),"ü",""))</f>
        <v>:</v>
      </c>
      <c r="G112" s="361" t="str">
        <f>IF((D112="Auto-calculate"),":",IF(AND((D112&gt;=6),(D112&lt;=7.49)),"ü",""))</f>
        <v>:</v>
      </c>
      <c r="H112" s="361" t="str">
        <f>IF((D112="Auto-calculate"),":",IF(AND((D112&gt;=7.5),(D112&lt;=8.99)),"ü",""))</f>
        <v>:</v>
      </c>
      <c r="I112" s="362" t="str">
        <f>IF((D112="Auto-calculate"),":",IF(AND((D112&gt;=9),(D112&lt;=10)),"ü",""))</f>
        <v>:</v>
      </c>
      <c r="J112" s="275"/>
      <c r="K112" s="276"/>
      <c r="L112" s="276"/>
      <c r="M112" s="482"/>
      <c r="N112" s="482"/>
      <c r="O112" s="483"/>
      <c r="P112" s="482"/>
      <c r="Q112" s="482"/>
      <c r="R112" s="482"/>
      <c r="S112" s="482"/>
    </row>
    <row r="113" spans="1:19" s="277" customFormat="1" ht="11.25" customHeight="1">
      <c r="A113" s="474"/>
      <c r="B113" s="474"/>
      <c r="C113" s="475"/>
      <c r="D113" s="475"/>
      <c r="E113" s="476"/>
      <c r="F113" s="476"/>
      <c r="G113" s="476"/>
      <c r="H113" s="476"/>
      <c r="I113" s="476"/>
      <c r="J113" s="350"/>
      <c r="K113" s="276"/>
      <c r="L113" s="276"/>
      <c r="M113" s="398"/>
      <c r="N113" s="398"/>
      <c r="O113" s="397"/>
      <c r="P113" s="398"/>
      <c r="Q113" s="398"/>
      <c r="R113" s="398"/>
      <c r="S113" s="398"/>
    </row>
    <row r="114" spans="1:19" s="277" customFormat="1" ht="22.5">
      <c r="A114" s="474"/>
      <c r="B114" s="474"/>
      <c r="C114" s="477" t="s">
        <v>305</v>
      </c>
      <c r="D114" s="478" t="str">
        <f>IF(('EntryData-ปฐมวัย(ตบช.1-12)'!F57="Auto-calculate"),"Auto-calculate",'EntryData-ปฐมวัย(ตบช.1-12)'!F57)</f>
        <v>Auto-calculate</v>
      </c>
      <c r="E114" s="350"/>
      <c r="F114" s="476"/>
      <c r="G114" s="476"/>
      <c r="H114" s="476"/>
      <c r="I114" s="476"/>
      <c r="J114" s="350"/>
      <c r="K114" s="276"/>
      <c r="L114" s="276"/>
      <c r="M114" s="398"/>
      <c r="N114" s="398"/>
      <c r="O114" s="397"/>
      <c r="P114" s="398"/>
      <c r="Q114" s="398"/>
      <c r="R114" s="398"/>
      <c r="S114" s="398"/>
    </row>
    <row r="115" spans="1:19" s="277" customFormat="1" ht="9" customHeight="1">
      <c r="A115" s="474"/>
      <c r="B115" s="474"/>
      <c r="C115" s="475"/>
      <c r="D115" s="475"/>
      <c r="E115" s="476"/>
      <c r="F115" s="476"/>
      <c r="G115" s="476"/>
      <c r="H115" s="476"/>
      <c r="I115" s="476"/>
      <c r="J115" s="350"/>
      <c r="K115" s="276"/>
      <c r="L115" s="276"/>
      <c r="M115" s="398"/>
      <c r="N115" s="398"/>
      <c r="O115" s="397"/>
      <c r="P115" s="398"/>
      <c r="Q115" s="398"/>
      <c r="R115" s="398"/>
      <c r="S115" s="398"/>
    </row>
    <row r="116" spans="1:19" s="277" customFormat="1" ht="21">
      <c r="A116" s="473" t="s">
        <v>531</v>
      </c>
      <c r="B116" s="473"/>
      <c r="C116" s="350"/>
      <c r="D116" s="350"/>
      <c r="E116" s="350"/>
      <c r="F116" s="350"/>
      <c r="G116" s="350"/>
      <c r="I116" s="275"/>
      <c r="J116" s="276"/>
      <c r="M116" s="397"/>
      <c r="N116" s="398"/>
      <c r="O116" s="398"/>
      <c r="P116" s="398"/>
      <c r="Q116" s="398"/>
      <c r="R116" s="398"/>
      <c r="S116" s="398"/>
    </row>
    <row r="117" spans="3:19" s="277" customFormat="1" ht="9.75" customHeight="1" thickBot="1">
      <c r="C117" s="350"/>
      <c r="D117" s="350"/>
      <c r="E117" s="350"/>
      <c r="F117" s="350"/>
      <c r="G117" s="350"/>
      <c r="I117" s="275"/>
      <c r="J117" s="276"/>
      <c r="M117" s="397"/>
      <c r="N117" s="398"/>
      <c r="O117" s="398"/>
      <c r="P117" s="398"/>
      <c r="Q117" s="398"/>
      <c r="R117" s="398"/>
      <c r="S117" s="398"/>
    </row>
    <row r="118" spans="1:19" s="277" customFormat="1" ht="21">
      <c r="A118" s="689" t="s">
        <v>688</v>
      </c>
      <c r="B118" s="690"/>
      <c r="C118" s="285" t="s">
        <v>644</v>
      </c>
      <c r="D118" s="285" t="s">
        <v>689</v>
      </c>
      <c r="E118" s="684" t="s">
        <v>697</v>
      </c>
      <c r="F118" s="685"/>
      <c r="G118" s="685"/>
      <c r="H118" s="685"/>
      <c r="I118" s="686"/>
      <c r="J118" s="350"/>
      <c r="K118" s="276"/>
      <c r="L118" s="276"/>
      <c r="M118" s="398"/>
      <c r="N118" s="398"/>
      <c r="O118" s="397"/>
      <c r="P118" s="398"/>
      <c r="Q118" s="398"/>
      <c r="R118" s="398"/>
      <c r="S118" s="398"/>
    </row>
    <row r="119" spans="1:19" s="277" customFormat="1" ht="42">
      <c r="A119" s="691"/>
      <c r="B119" s="692"/>
      <c r="C119" s="333" t="s">
        <v>831</v>
      </c>
      <c r="D119" s="334" t="s">
        <v>690</v>
      </c>
      <c r="E119" s="316" t="s">
        <v>691</v>
      </c>
      <c r="F119" s="316" t="s">
        <v>692</v>
      </c>
      <c r="G119" s="316" t="s">
        <v>822</v>
      </c>
      <c r="H119" s="316" t="s">
        <v>823</v>
      </c>
      <c r="I119" s="317" t="s">
        <v>824</v>
      </c>
      <c r="J119" s="350"/>
      <c r="K119" s="276"/>
      <c r="L119" s="276"/>
      <c r="M119" s="398"/>
      <c r="N119" s="398"/>
      <c r="O119" s="397"/>
      <c r="P119" s="398"/>
      <c r="Q119" s="398"/>
      <c r="R119" s="398"/>
      <c r="S119" s="398"/>
    </row>
    <row r="120" spans="1:19" s="277" customFormat="1" ht="39" customHeight="1">
      <c r="A120" s="687" t="s">
        <v>532</v>
      </c>
      <c r="B120" s="688"/>
      <c r="C120" s="367">
        <v>5</v>
      </c>
      <c r="D120" s="367" t="str">
        <f>IF(('EntryData-ปฐมวัย(ตบช.1-12)'!E93="Auto-calculate"),"Auto-calculate",'EntryData-ปฐมวัย(ตบช.1-12)'!E93)</f>
        <v>Auto-calculate</v>
      </c>
      <c r="E120" s="363" t="str">
        <f>IF((D120="Auto-calculate"),":",IF((D120=1),"ü",""))</f>
        <v>:</v>
      </c>
      <c r="F120" s="363" t="str">
        <f>IF((D120="Auto-calculate"),":",IF((D120=2),"ü",""))</f>
        <v>:</v>
      </c>
      <c r="G120" s="363" t="str">
        <f>IF((D120="Auto-calculate"),":",IF((D120=3),"ü",""))</f>
        <v>:</v>
      </c>
      <c r="H120" s="363" t="str">
        <f>IF((D120="Auto-calculate"),":",IF((D120=4),"ü",""))</f>
        <v>:</v>
      </c>
      <c r="I120" s="364" t="str">
        <f>IF((D120="Auto-calculate"),":",IF((D120=5),"ü",""))</f>
        <v>:</v>
      </c>
      <c r="J120" s="350"/>
      <c r="K120" s="276"/>
      <c r="L120" s="276"/>
      <c r="M120" s="398"/>
      <c r="N120" s="398"/>
      <c r="O120" s="397"/>
      <c r="P120" s="398"/>
      <c r="Q120" s="398"/>
      <c r="R120" s="398"/>
      <c r="S120" s="398"/>
    </row>
    <row r="121" spans="1:19" s="277" customFormat="1" ht="42.75" customHeight="1">
      <c r="A121" s="687" t="s">
        <v>533</v>
      </c>
      <c r="B121" s="688"/>
      <c r="C121" s="367">
        <v>5</v>
      </c>
      <c r="D121" s="367" t="str">
        <f>IF(('EntryData-ปฐมวัย(ตบช.1-12)'!E100="Auto-calculate"),"Auto-calculate",'EntryData-ปฐมวัย(ตบช.1-12)'!E100)</f>
        <v>Auto-calculate</v>
      </c>
      <c r="E121" s="363" t="str">
        <f>IF((D121="Auto-calculate"),":",IF((D121=1),"ü",""))</f>
        <v>:</v>
      </c>
      <c r="F121" s="363" t="str">
        <f>IF((D121="Auto-calculate"),":",IF((D121=2),"ü",""))</f>
        <v>:</v>
      </c>
      <c r="G121" s="363" t="str">
        <f>IF((D121="Auto-calculate"),":",IF((D121=3),"ü",""))</f>
        <v>:</v>
      </c>
      <c r="H121" s="363" t="str">
        <f>IF((D121="Auto-calculate"),":",IF((D121=4),"ü",""))</f>
        <v>:</v>
      </c>
      <c r="I121" s="364" t="str">
        <f>IF((D121="Auto-calculate"),":",IF((D121=5),"ü",""))</f>
        <v>:</v>
      </c>
      <c r="J121" s="350"/>
      <c r="K121" s="276"/>
      <c r="L121" s="276"/>
      <c r="M121" s="398"/>
      <c r="N121" s="398"/>
      <c r="O121" s="397"/>
      <c r="P121" s="398"/>
      <c r="Q121" s="398"/>
      <c r="R121" s="398"/>
      <c r="S121" s="398"/>
    </row>
    <row r="122" spans="1:19" s="277" customFormat="1" ht="42" customHeight="1">
      <c r="A122" s="687" t="s">
        <v>534</v>
      </c>
      <c r="B122" s="688"/>
      <c r="C122" s="367">
        <v>5</v>
      </c>
      <c r="D122" s="367" t="str">
        <f>IF(('EntryData-ปฐมวัย(ตบช.1-12)'!E106="Auto-calculate"),"Auto-calculate",'EntryData-ปฐมวัย(ตบช.1-12)'!E106)</f>
        <v>Auto-calculate</v>
      </c>
      <c r="E122" s="363" t="str">
        <f>IF((D122="Auto-calculate"),":",IF((D122=1),"ü",""))</f>
        <v>:</v>
      </c>
      <c r="F122" s="363" t="str">
        <f>IF((D122="Auto-calculate"),":",IF((D122=2),"ü",""))</f>
        <v>:</v>
      </c>
      <c r="G122" s="363" t="str">
        <f>IF((D122="Auto-calculate"),":",IF((D122=3),"ü",""))</f>
        <v>:</v>
      </c>
      <c r="H122" s="363" t="str">
        <f>IF((D122="Auto-calculate"),":",IF((D122=4),"ü",""))</f>
        <v>:</v>
      </c>
      <c r="I122" s="364" t="str">
        <f>IF((D122="Auto-calculate"),":",IF((D122=5),"ü",""))</f>
        <v>:</v>
      </c>
      <c r="J122" s="350"/>
      <c r="K122" s="276"/>
      <c r="L122" s="276"/>
      <c r="M122" s="398"/>
      <c r="N122" s="398"/>
      <c r="O122" s="397"/>
      <c r="P122" s="398"/>
      <c r="Q122" s="398"/>
      <c r="R122" s="398"/>
      <c r="S122" s="398"/>
    </row>
    <row r="123" spans="1:19" s="277" customFormat="1" ht="42.75" customHeight="1">
      <c r="A123" s="687" t="s">
        <v>535</v>
      </c>
      <c r="B123" s="688"/>
      <c r="C123" s="367">
        <v>5</v>
      </c>
      <c r="D123" s="367" t="str">
        <f>IF(('EntryData-ปฐมวัย(ตบช.1-12)'!E114="Auto-calculate"),"Auto-calculate",'EntryData-ปฐมวัย(ตบช.1-12)'!E114)</f>
        <v>Auto-calculate</v>
      </c>
      <c r="E123" s="363" t="str">
        <f>IF((D123="Auto-calculate"),":",IF((D123=1),"ü",""))</f>
        <v>:</v>
      </c>
      <c r="F123" s="363" t="str">
        <f>IF((D123="Auto-calculate"),":",IF((D123=2),"ü",""))</f>
        <v>:</v>
      </c>
      <c r="G123" s="363" t="str">
        <f>IF((D123="Auto-calculate"),":",IF((D123=3),"ü",""))</f>
        <v>:</v>
      </c>
      <c r="H123" s="363" t="str">
        <f>IF((D123="Auto-calculate"),":",IF((D123=4),"ü",""))</f>
        <v>:</v>
      </c>
      <c r="I123" s="364" t="str">
        <f>IF((D123="Auto-calculate"),":",IF((D123=5),"ü",""))</f>
        <v>:</v>
      </c>
      <c r="J123" s="350"/>
      <c r="K123" s="276"/>
      <c r="L123" s="276"/>
      <c r="M123" s="398"/>
      <c r="N123" s="398"/>
      <c r="O123" s="397"/>
      <c r="P123" s="398"/>
      <c r="Q123" s="398"/>
      <c r="R123" s="398"/>
      <c r="S123" s="398"/>
    </row>
    <row r="124" spans="1:19" s="277" customFormat="1" ht="42.75" customHeight="1">
      <c r="A124" s="687" t="s">
        <v>536</v>
      </c>
      <c r="B124" s="688"/>
      <c r="C124" s="367">
        <v>5</v>
      </c>
      <c r="D124" s="367" t="str">
        <f>IF(('EntryData-ปฐมวัย(ตบช.1-12)'!E120="Auto-calculate"),"Auto-calculate",'EntryData-ปฐมวัย(ตบช.1-12)'!E120)</f>
        <v>Auto-calculate</v>
      </c>
      <c r="E124" s="363" t="str">
        <f>IF((D124="Auto-calculate"),":",IF((D124=1),"ü",""))</f>
        <v>:</v>
      </c>
      <c r="F124" s="363" t="str">
        <f>IF((D124="Auto-calculate"),":",IF((D124=2),"ü",""))</f>
        <v>:</v>
      </c>
      <c r="G124" s="363" t="str">
        <f>IF((D124="Auto-calculate"),":",IF((D124=3),"ü",""))</f>
        <v>:</v>
      </c>
      <c r="H124" s="363" t="str">
        <f>IF((D124="Auto-calculate"),":",IF((D124=4),"ü",""))</f>
        <v>:</v>
      </c>
      <c r="I124" s="364" t="str">
        <f>IF((D124="Auto-calculate"),":",IF((D124=5),"ü",""))</f>
        <v>:</v>
      </c>
      <c r="J124" s="350"/>
      <c r="K124" s="276"/>
      <c r="L124" s="276"/>
      <c r="M124" s="398"/>
      <c r="N124" s="398"/>
      <c r="O124" s="397"/>
      <c r="P124" s="398"/>
      <c r="Q124" s="398"/>
      <c r="R124" s="398"/>
      <c r="S124" s="398"/>
    </row>
    <row r="125" spans="1:19" s="277" customFormat="1" ht="40.5" customHeight="1">
      <c r="A125" s="687" t="s">
        <v>537</v>
      </c>
      <c r="B125" s="688"/>
      <c r="C125" s="367">
        <v>10</v>
      </c>
      <c r="D125" s="367" t="str">
        <f>IF(('EntryData-ปฐมวัย(ตบช.1-12)'!E126="Auto-calculate"),"Auto-calculate",'EntryData-ปฐมวัย(ตบช.1-12)'!E126)</f>
        <v>Auto-calculate</v>
      </c>
      <c r="E125" s="363" t="str">
        <f>IF((D125="Auto-calculate"),":",IF((D125=2),"ü",""))</f>
        <v>:</v>
      </c>
      <c r="F125" s="363" t="str">
        <f>IF((D125="Auto-calculate"),":",IF((D125=4),"ü",""))</f>
        <v>:</v>
      </c>
      <c r="G125" s="363" t="str">
        <f>IF((D125="Auto-calculate"),":",IF((D125=6),"ü",""))</f>
        <v>:</v>
      </c>
      <c r="H125" s="363" t="str">
        <f>IF((D125="Auto-calculate"),":",IF((D125=8),"ü",""))</f>
        <v>:</v>
      </c>
      <c r="I125" s="364" t="str">
        <f>IF((D125="Auto-calculate"),":",IF((D125=10),"ü",""))</f>
        <v>:</v>
      </c>
      <c r="J125" s="350"/>
      <c r="K125" s="276"/>
      <c r="L125" s="276"/>
      <c r="M125" s="398"/>
      <c r="N125" s="398"/>
      <c r="O125" s="397"/>
      <c r="P125" s="398"/>
      <c r="Q125" s="398"/>
      <c r="R125" s="398"/>
      <c r="S125" s="398"/>
    </row>
    <row r="126" spans="1:19" s="277" customFormat="1" ht="21.75" thickBot="1">
      <c r="A126" s="680" t="s">
        <v>975</v>
      </c>
      <c r="B126" s="681"/>
      <c r="C126" s="485">
        <f>SUM(C120:C125)</f>
        <v>35</v>
      </c>
      <c r="D126" s="368" t="str">
        <f>IF(('EntryData-ปฐมวัย(ตบช.1-12)'!E92="Auto-calculate"),"Auto-calculate",'EntryData-ปฐมวัย(ตบช.1-12)'!E92)</f>
        <v>Auto-calculate</v>
      </c>
      <c r="E126" s="361" t="str">
        <f>IF((D126="Auto-calculate"),":",IF(AND((D126&gt;=0),(D126&lt;=17.49)),"ü",""))</f>
        <v>:</v>
      </c>
      <c r="F126" s="361" t="str">
        <f>IF((D126="Auto-calculate"),":",IF(AND((D126&gt;=17.5),(D126&lt;=20.99)),"ü",""))</f>
        <v>:</v>
      </c>
      <c r="G126" s="361" t="str">
        <f>IF((D126="Auto-calculate"),":",IF(AND((D126&gt;=21),(D126&lt;=26.24)),"ü",""))</f>
        <v>:</v>
      </c>
      <c r="H126" s="361" t="str">
        <f>IF((D126="Auto-calculate"),":",IF(AND((D126&gt;=26.25),(D126&lt;=31.49)),"ü",""))</f>
        <v>:</v>
      </c>
      <c r="I126" s="362" t="str">
        <f>IF((D126="Auto-calculate"),":",IF(AND((D126&gt;=31.5),(D126&lt;=35)),"ü",""))</f>
        <v>:</v>
      </c>
      <c r="J126" s="350"/>
      <c r="K126" s="276"/>
      <c r="L126" s="276"/>
      <c r="M126" s="398"/>
      <c r="N126" s="398"/>
      <c r="O126" s="397"/>
      <c r="P126" s="398"/>
      <c r="Q126" s="398"/>
      <c r="R126" s="398"/>
      <c r="S126" s="398"/>
    </row>
    <row r="127" spans="1:19" s="277" customFormat="1" ht="11.25" customHeight="1">
      <c r="A127" s="474"/>
      <c r="B127" s="474"/>
      <c r="C127" s="475"/>
      <c r="D127" s="475"/>
      <c r="E127" s="476"/>
      <c r="F127" s="476"/>
      <c r="G127" s="476"/>
      <c r="H127" s="476"/>
      <c r="I127" s="476"/>
      <c r="J127" s="350"/>
      <c r="K127" s="276"/>
      <c r="L127" s="276"/>
      <c r="M127" s="398"/>
      <c r="N127" s="398"/>
      <c r="O127" s="397"/>
      <c r="P127" s="398"/>
      <c r="Q127" s="398"/>
      <c r="R127" s="398"/>
      <c r="S127" s="398"/>
    </row>
    <row r="128" spans="1:19" s="277" customFormat="1" ht="21">
      <c r="A128" s="474"/>
      <c r="B128" s="474"/>
      <c r="C128" s="477" t="s">
        <v>304</v>
      </c>
      <c r="D128" s="486" t="str">
        <f>IF(('EntryData-ปฐมวัย(ตบช.1-12)'!F92="Auto-calculate"),"Auto-calculate",'EntryData-ปฐมวัย(ตบช.1-12)'!F92)</f>
        <v>Auto-calculate</v>
      </c>
      <c r="E128" s="476"/>
      <c r="F128" s="476"/>
      <c r="G128" s="476"/>
      <c r="H128" s="476"/>
      <c r="I128" s="476"/>
      <c r="J128" s="350"/>
      <c r="K128" s="276"/>
      <c r="L128" s="276"/>
      <c r="M128" s="398"/>
      <c r="N128" s="398"/>
      <c r="O128" s="397"/>
      <c r="P128" s="398"/>
      <c r="Q128" s="398"/>
      <c r="R128" s="398"/>
      <c r="S128" s="398"/>
    </row>
    <row r="129" spans="1:19" s="277" customFormat="1" ht="9" customHeight="1">
      <c r="A129" s="474"/>
      <c r="B129" s="474"/>
      <c r="D129" s="477"/>
      <c r="E129" s="476"/>
      <c r="F129" s="476"/>
      <c r="G129" s="476"/>
      <c r="H129" s="476"/>
      <c r="I129" s="476"/>
      <c r="J129" s="350"/>
      <c r="K129" s="276"/>
      <c r="L129" s="276"/>
      <c r="M129" s="398"/>
      <c r="N129" s="398"/>
      <c r="O129" s="397"/>
      <c r="P129" s="398"/>
      <c r="Q129" s="398"/>
      <c r="R129" s="398"/>
      <c r="S129" s="398"/>
    </row>
    <row r="130" spans="1:19" s="277" customFormat="1" ht="21">
      <c r="A130" s="473" t="s">
        <v>538</v>
      </c>
      <c r="B130" s="473"/>
      <c r="C130" s="350"/>
      <c r="D130" s="350"/>
      <c r="E130" s="350"/>
      <c r="F130" s="350"/>
      <c r="G130" s="350"/>
      <c r="I130" s="275"/>
      <c r="J130" s="276"/>
      <c r="M130" s="397"/>
      <c r="N130" s="398"/>
      <c r="O130" s="398"/>
      <c r="P130" s="398"/>
      <c r="Q130" s="398"/>
      <c r="R130" s="398"/>
      <c r="S130" s="398"/>
    </row>
    <row r="131" spans="3:19" s="277" customFormat="1" ht="9.75" customHeight="1" thickBot="1">
      <c r="C131" s="350"/>
      <c r="D131" s="350"/>
      <c r="E131" s="350"/>
      <c r="F131" s="350"/>
      <c r="G131" s="350"/>
      <c r="I131" s="275"/>
      <c r="J131" s="276"/>
      <c r="M131" s="397"/>
      <c r="N131" s="398"/>
      <c r="O131" s="398"/>
      <c r="P131" s="398"/>
      <c r="Q131" s="398"/>
      <c r="R131" s="398"/>
      <c r="S131" s="398"/>
    </row>
    <row r="132" spans="1:19" s="277" customFormat="1" ht="21">
      <c r="A132" s="689" t="s">
        <v>688</v>
      </c>
      <c r="B132" s="690"/>
      <c r="C132" s="285" t="s">
        <v>644</v>
      </c>
      <c r="D132" s="285" t="s">
        <v>689</v>
      </c>
      <c r="E132" s="684" t="s">
        <v>697</v>
      </c>
      <c r="F132" s="685"/>
      <c r="G132" s="685"/>
      <c r="H132" s="685"/>
      <c r="I132" s="686"/>
      <c r="J132" s="350"/>
      <c r="K132" s="276"/>
      <c r="L132" s="276"/>
      <c r="M132" s="398"/>
      <c r="N132" s="398"/>
      <c r="O132" s="397"/>
      <c r="P132" s="398"/>
      <c r="Q132" s="398"/>
      <c r="R132" s="398"/>
      <c r="S132" s="398"/>
    </row>
    <row r="133" spans="1:19" s="277" customFormat="1" ht="42">
      <c r="A133" s="691"/>
      <c r="B133" s="692"/>
      <c r="C133" s="333" t="s">
        <v>831</v>
      </c>
      <c r="D133" s="334" t="s">
        <v>690</v>
      </c>
      <c r="E133" s="316" t="s">
        <v>691</v>
      </c>
      <c r="F133" s="316" t="s">
        <v>692</v>
      </c>
      <c r="G133" s="316" t="s">
        <v>822</v>
      </c>
      <c r="H133" s="316" t="s">
        <v>823</v>
      </c>
      <c r="I133" s="317" t="s">
        <v>824</v>
      </c>
      <c r="J133" s="350"/>
      <c r="K133" s="276"/>
      <c r="L133" s="276"/>
      <c r="M133" s="398"/>
      <c r="N133" s="398"/>
      <c r="O133" s="397"/>
      <c r="P133" s="398"/>
      <c r="Q133" s="398"/>
      <c r="R133" s="398"/>
      <c r="S133" s="398"/>
    </row>
    <row r="134" spans="1:19" s="277" customFormat="1" ht="21">
      <c r="A134" s="687" t="s">
        <v>539</v>
      </c>
      <c r="B134" s="688"/>
      <c r="C134" s="367">
        <v>2.5</v>
      </c>
      <c r="D134" s="367" t="str">
        <f>IF(('EntryData-ปฐมวัย(ตบช.1-12)'!E138="Auto-calculate"),"Auto-calculate",'EntryData-ปฐมวัย(ตบช.1-12)'!E138)</f>
        <v>Auto-calculate</v>
      </c>
      <c r="E134" s="363" t="str">
        <f aca="true" t="shared" si="0" ref="E134:E139">IF((D134="Auto-calculate"),":",IF((D134=0.5),"ü",""))</f>
        <v>:</v>
      </c>
      <c r="F134" s="363" t="str">
        <f aca="true" t="shared" si="1" ref="F134:F139">IF((D134="Auto-calculate"),":",IF((D134=1),"ü",""))</f>
        <v>:</v>
      </c>
      <c r="G134" s="363" t="str">
        <f aca="true" t="shared" si="2" ref="G134:G139">IF((D134="Auto-calculate"),":",IF((D134=1.5),"ü",""))</f>
        <v>:</v>
      </c>
      <c r="H134" s="363" t="str">
        <f aca="true" t="shared" si="3" ref="H134:H139">IF((D134="Auto-calculate"),":",IF((D134=2),"ü",""))</f>
        <v>:</v>
      </c>
      <c r="I134" s="364" t="str">
        <f aca="true" t="shared" si="4" ref="I134:I139">IF((D134="Auto-calculate"),":",IF((D134=2.5),"ü",""))</f>
        <v>:</v>
      </c>
      <c r="J134" s="350"/>
      <c r="K134" s="276"/>
      <c r="L134" s="276"/>
      <c r="M134" s="398"/>
      <c r="N134" s="398"/>
      <c r="O134" s="397"/>
      <c r="P134" s="398"/>
      <c r="Q134" s="398"/>
      <c r="R134" s="398"/>
      <c r="S134" s="398"/>
    </row>
    <row r="135" spans="1:19" s="277" customFormat="1" ht="21">
      <c r="A135" s="687" t="s">
        <v>540</v>
      </c>
      <c r="B135" s="688"/>
      <c r="C135" s="367">
        <v>2.5</v>
      </c>
      <c r="D135" s="367" t="str">
        <f>IF(('EntryData-ปฐมวัย(ตบช.1-12)'!E143="Auto-calculate"),"Auto-calculate",'EntryData-ปฐมวัย(ตบช.1-12)'!E143)</f>
        <v>Auto-calculate</v>
      </c>
      <c r="E135" s="363" t="str">
        <f t="shared" si="0"/>
        <v>:</v>
      </c>
      <c r="F135" s="363" t="str">
        <f t="shared" si="1"/>
        <v>:</v>
      </c>
      <c r="G135" s="363" t="str">
        <f t="shared" si="2"/>
        <v>:</v>
      </c>
      <c r="H135" s="363" t="str">
        <f t="shared" si="3"/>
        <v>:</v>
      </c>
      <c r="I135" s="364" t="str">
        <f t="shared" si="4"/>
        <v>:</v>
      </c>
      <c r="J135" s="350"/>
      <c r="K135" s="276"/>
      <c r="L135" s="276"/>
      <c r="M135" s="398"/>
      <c r="N135" s="398"/>
      <c r="O135" s="397"/>
      <c r="P135" s="398"/>
      <c r="Q135" s="398"/>
      <c r="R135" s="398"/>
      <c r="S135" s="398"/>
    </row>
    <row r="136" spans="1:19" s="277" customFormat="1" ht="42.75" customHeight="1">
      <c r="A136" s="687" t="s">
        <v>541</v>
      </c>
      <c r="B136" s="688"/>
      <c r="C136" s="367">
        <v>2.5</v>
      </c>
      <c r="D136" s="367" t="str">
        <f>IF(('EntryData-ปฐมวัย(ตบช.1-12)'!E149="Auto-calculate"),"Auto-calculate",'EntryData-ปฐมวัย(ตบช.1-12)'!E149)</f>
        <v>Auto-calculate</v>
      </c>
      <c r="E136" s="363" t="str">
        <f t="shared" si="0"/>
        <v>:</v>
      </c>
      <c r="F136" s="363" t="str">
        <f t="shared" si="1"/>
        <v>:</v>
      </c>
      <c r="G136" s="363" t="str">
        <f t="shared" si="2"/>
        <v>:</v>
      </c>
      <c r="H136" s="363" t="str">
        <f t="shared" si="3"/>
        <v>:</v>
      </c>
      <c r="I136" s="364" t="str">
        <f t="shared" si="4"/>
        <v>:</v>
      </c>
      <c r="J136" s="350"/>
      <c r="K136" s="276"/>
      <c r="L136" s="276"/>
      <c r="M136" s="398"/>
      <c r="N136" s="398"/>
      <c r="O136" s="397"/>
      <c r="P136" s="398"/>
      <c r="Q136" s="398"/>
      <c r="R136" s="398"/>
      <c r="S136" s="398"/>
    </row>
    <row r="137" spans="1:19" s="277" customFormat="1" ht="65.25" customHeight="1">
      <c r="A137" s="687" t="s">
        <v>542</v>
      </c>
      <c r="B137" s="688"/>
      <c r="C137" s="367">
        <v>2.5</v>
      </c>
      <c r="D137" s="367" t="str">
        <f>IF(('EntryData-ปฐมวัย(ตบช.1-12)'!E154="Auto-calculate"),"Auto-calculate",'EntryData-ปฐมวัย(ตบช.1-12)'!E154)</f>
        <v>Auto-calculate</v>
      </c>
      <c r="E137" s="363" t="str">
        <f t="shared" si="0"/>
        <v>:</v>
      </c>
      <c r="F137" s="363" t="str">
        <f t="shared" si="1"/>
        <v>:</v>
      </c>
      <c r="G137" s="363" t="str">
        <f t="shared" si="2"/>
        <v>:</v>
      </c>
      <c r="H137" s="363" t="str">
        <f t="shared" si="3"/>
        <v>:</v>
      </c>
      <c r="I137" s="364" t="str">
        <f t="shared" si="4"/>
        <v>:</v>
      </c>
      <c r="J137" s="350"/>
      <c r="K137" s="276"/>
      <c r="L137" s="276"/>
      <c r="M137" s="398"/>
      <c r="N137" s="398"/>
      <c r="O137" s="397"/>
      <c r="P137" s="398"/>
      <c r="Q137" s="398"/>
      <c r="R137" s="398"/>
      <c r="S137" s="398"/>
    </row>
    <row r="138" spans="1:19" s="277" customFormat="1" ht="60.75" customHeight="1">
      <c r="A138" s="687" t="s">
        <v>543</v>
      </c>
      <c r="B138" s="688"/>
      <c r="C138" s="367">
        <v>2.5</v>
      </c>
      <c r="D138" s="367" t="str">
        <f>IF(('EntryData-ปฐมวัย(ตบช.1-12)'!E163="Auto-calculate"),"Auto-calculate",'EntryData-ปฐมวัย(ตบช.1-12)'!E163)</f>
        <v>Auto-calculate</v>
      </c>
      <c r="E138" s="363" t="str">
        <f t="shared" si="0"/>
        <v>:</v>
      </c>
      <c r="F138" s="363" t="str">
        <f t="shared" si="1"/>
        <v>:</v>
      </c>
      <c r="G138" s="363" t="str">
        <f t="shared" si="2"/>
        <v>:</v>
      </c>
      <c r="H138" s="363" t="str">
        <f t="shared" si="3"/>
        <v>:</v>
      </c>
      <c r="I138" s="364" t="str">
        <f t="shared" si="4"/>
        <v>:</v>
      </c>
      <c r="J138" s="350"/>
      <c r="K138" s="276"/>
      <c r="L138" s="276"/>
      <c r="M138" s="398"/>
      <c r="N138" s="398"/>
      <c r="O138" s="397"/>
      <c r="P138" s="398"/>
      <c r="Q138" s="398"/>
      <c r="R138" s="398"/>
      <c r="S138" s="398"/>
    </row>
    <row r="139" spans="1:19" s="277" customFormat="1" ht="42.75" customHeight="1">
      <c r="A139" s="687" t="s">
        <v>544</v>
      </c>
      <c r="B139" s="688"/>
      <c r="C139" s="367">
        <v>2.5</v>
      </c>
      <c r="D139" s="367" t="str">
        <f>IF(('EntryData-ปฐมวัย(ตบช.1-12)'!E176="Auto-calculate"),"Auto-calculate",'EntryData-ปฐมวัย(ตบช.1-12)'!E176)</f>
        <v>Auto-calculate</v>
      </c>
      <c r="E139" s="363" t="str">
        <f t="shared" si="0"/>
        <v>:</v>
      </c>
      <c r="F139" s="363" t="str">
        <f t="shared" si="1"/>
        <v>:</v>
      </c>
      <c r="G139" s="363" t="str">
        <f t="shared" si="2"/>
        <v>:</v>
      </c>
      <c r="H139" s="363" t="str">
        <f t="shared" si="3"/>
        <v>:</v>
      </c>
      <c r="I139" s="364" t="str">
        <f t="shared" si="4"/>
        <v>:</v>
      </c>
      <c r="J139" s="350"/>
      <c r="K139" s="276"/>
      <c r="L139" s="276"/>
      <c r="M139" s="398"/>
      <c r="N139" s="398"/>
      <c r="O139" s="397"/>
      <c r="P139" s="398"/>
      <c r="Q139" s="398"/>
      <c r="R139" s="398"/>
      <c r="S139" s="398"/>
    </row>
    <row r="140" spans="1:19" s="277" customFormat="1" ht="21.75" thickBot="1">
      <c r="A140" s="680" t="s">
        <v>976</v>
      </c>
      <c r="B140" s="681"/>
      <c r="C140" s="480">
        <f>SUM(C134:C139)</f>
        <v>15</v>
      </c>
      <c r="D140" s="481" t="str">
        <f>IF(('EntryData-ปฐมวัย(ตบช.1-12)'!E137="Auto-calculate"),"Auto-calculate",'EntryData-ปฐมวัย(ตบช.1-12)'!E137)</f>
        <v>Auto-calculate</v>
      </c>
      <c r="E140" s="361" t="str">
        <f>IF((D140="Auto-calculate"),":",IF(AND((D140&gt;=0),(D140&lt;=7.49)),"ü",""))</f>
        <v>:</v>
      </c>
      <c r="F140" s="361" t="str">
        <f>IF((D140="Auto-calculate"),":",IF(AND((D140&gt;=7.5),(D140&lt;=8.99)),"ü",""))</f>
        <v>:</v>
      </c>
      <c r="G140" s="361" t="str">
        <f>IF((D140="Auto-calculate"),":",IF(AND((D140&gt;=9),(D140&lt;=11.24)),"ü",""))</f>
        <v>:</v>
      </c>
      <c r="H140" s="361" t="str">
        <f>IF((D140="Auto-calculate"),":",IF(AND((D140&gt;=11.25),(D140&lt;=13.49)),"ü",""))</f>
        <v>:</v>
      </c>
      <c r="I140" s="362" t="str">
        <f>IF((D140="Auto-calculate"),":",IF(AND((D140&gt;=13.5),(D140&lt;=15)),"ü",""))</f>
        <v>:</v>
      </c>
      <c r="J140" s="350"/>
      <c r="K140" s="276"/>
      <c r="L140" s="276"/>
      <c r="M140" s="398"/>
      <c r="N140" s="398"/>
      <c r="O140" s="397"/>
      <c r="P140" s="398"/>
      <c r="Q140" s="398"/>
      <c r="R140" s="398"/>
      <c r="S140" s="398"/>
    </row>
    <row r="141" spans="1:19" s="277" customFormat="1" ht="11.25" customHeight="1">
      <c r="A141" s="474"/>
      <c r="B141" s="474"/>
      <c r="C141" s="475"/>
      <c r="D141" s="475"/>
      <c r="E141" s="476"/>
      <c r="F141" s="476"/>
      <c r="G141" s="476"/>
      <c r="H141" s="476"/>
      <c r="I141" s="476"/>
      <c r="J141" s="350"/>
      <c r="K141" s="276"/>
      <c r="L141" s="276"/>
      <c r="M141" s="398"/>
      <c r="N141" s="398"/>
      <c r="O141" s="397"/>
      <c r="P141" s="398"/>
      <c r="Q141" s="398"/>
      <c r="R141" s="398"/>
      <c r="S141" s="398"/>
    </row>
    <row r="142" spans="1:19" s="277" customFormat="1" ht="21">
      <c r="A142" s="474"/>
      <c r="B142" s="474"/>
      <c r="C142" s="477" t="s">
        <v>303</v>
      </c>
      <c r="D142" s="486" t="str">
        <f>IF(('EntryData-ปฐมวัย(ตบช.1-12)'!F137="Auto-calculate"),"Auto-calculate",'EntryData-ปฐมวัย(ตบช.1-12)'!F137)</f>
        <v>Auto-calculate</v>
      </c>
      <c r="E142" s="476"/>
      <c r="F142" s="476"/>
      <c r="G142" s="476"/>
      <c r="H142" s="476"/>
      <c r="I142" s="476"/>
      <c r="J142" s="350"/>
      <c r="K142" s="276"/>
      <c r="L142" s="276"/>
      <c r="M142" s="398"/>
      <c r="N142" s="398"/>
      <c r="O142" s="397"/>
      <c r="P142" s="398"/>
      <c r="Q142" s="398"/>
      <c r="R142" s="398"/>
      <c r="S142" s="398"/>
    </row>
    <row r="143" spans="1:19" s="277" customFormat="1" ht="9" customHeight="1">
      <c r="A143" s="474"/>
      <c r="B143" s="474"/>
      <c r="D143" s="477"/>
      <c r="E143" s="476"/>
      <c r="F143" s="476"/>
      <c r="G143" s="476"/>
      <c r="H143" s="476"/>
      <c r="I143" s="476"/>
      <c r="J143" s="350"/>
      <c r="K143" s="276"/>
      <c r="L143" s="276"/>
      <c r="M143" s="398"/>
      <c r="N143" s="398"/>
      <c r="O143" s="397"/>
      <c r="P143" s="398"/>
      <c r="Q143" s="398"/>
      <c r="R143" s="398"/>
      <c r="S143" s="398"/>
    </row>
    <row r="144" spans="1:19" s="277" customFormat="1" ht="21">
      <c r="A144" s="473" t="s">
        <v>545</v>
      </c>
      <c r="B144" s="473"/>
      <c r="C144" s="350"/>
      <c r="D144" s="350"/>
      <c r="E144" s="350"/>
      <c r="F144" s="350"/>
      <c r="G144" s="350"/>
      <c r="I144" s="275"/>
      <c r="J144" s="276"/>
      <c r="M144" s="397"/>
      <c r="N144" s="398"/>
      <c r="O144" s="398"/>
      <c r="P144" s="398"/>
      <c r="Q144" s="398"/>
      <c r="R144" s="398"/>
      <c r="S144" s="398"/>
    </row>
    <row r="145" spans="3:19" s="277" customFormat="1" ht="9.75" customHeight="1" thickBot="1">
      <c r="C145" s="350"/>
      <c r="D145" s="350"/>
      <c r="E145" s="350"/>
      <c r="F145" s="350"/>
      <c r="G145" s="350"/>
      <c r="I145" s="275"/>
      <c r="J145" s="276"/>
      <c r="M145" s="397"/>
      <c r="N145" s="398"/>
      <c r="O145" s="398"/>
      <c r="P145" s="398"/>
      <c r="Q145" s="398"/>
      <c r="R145" s="398"/>
      <c r="S145" s="398"/>
    </row>
    <row r="146" spans="1:19" s="277" customFormat="1" ht="21">
      <c r="A146" s="689" t="s">
        <v>688</v>
      </c>
      <c r="B146" s="690"/>
      <c r="C146" s="285" t="s">
        <v>644</v>
      </c>
      <c r="D146" s="285" t="s">
        <v>689</v>
      </c>
      <c r="E146" s="684" t="s">
        <v>697</v>
      </c>
      <c r="F146" s="685"/>
      <c r="G146" s="685"/>
      <c r="H146" s="685"/>
      <c r="I146" s="686"/>
      <c r="J146" s="350"/>
      <c r="K146" s="276"/>
      <c r="L146" s="276"/>
      <c r="M146" s="398"/>
      <c r="N146" s="398"/>
      <c r="O146" s="397"/>
      <c r="P146" s="398"/>
      <c r="Q146" s="398"/>
      <c r="R146" s="398"/>
      <c r="S146" s="398"/>
    </row>
    <row r="147" spans="1:19" s="277" customFormat="1" ht="42">
      <c r="A147" s="691"/>
      <c r="B147" s="692"/>
      <c r="C147" s="334" t="s">
        <v>831</v>
      </c>
      <c r="D147" s="286" t="s">
        <v>690</v>
      </c>
      <c r="E147" s="651" t="s">
        <v>691</v>
      </c>
      <c r="F147" s="651" t="s">
        <v>692</v>
      </c>
      <c r="G147" s="651" t="s">
        <v>822</v>
      </c>
      <c r="H147" s="651" t="s">
        <v>823</v>
      </c>
      <c r="I147" s="652" t="s">
        <v>824</v>
      </c>
      <c r="J147" s="350"/>
      <c r="K147" s="276"/>
      <c r="L147" s="276"/>
      <c r="M147" s="398"/>
      <c r="N147" s="398"/>
      <c r="O147" s="397"/>
      <c r="P147" s="398"/>
      <c r="Q147" s="398"/>
      <c r="R147" s="398"/>
      <c r="S147" s="398"/>
    </row>
    <row r="148" spans="1:19" s="277" customFormat="1" ht="21" hidden="1">
      <c r="A148" s="487" t="s">
        <v>546</v>
      </c>
      <c r="B148" s="488"/>
      <c r="C148" s="489"/>
      <c r="D148" s="489"/>
      <c r="E148" s="316"/>
      <c r="F148" s="316"/>
      <c r="G148" s="316"/>
      <c r="H148" s="316"/>
      <c r="I148" s="317"/>
      <c r="J148" s="350"/>
      <c r="K148" s="276"/>
      <c r="L148" s="276"/>
      <c r="M148" s="398"/>
      <c r="N148" s="398"/>
      <c r="O148" s="397"/>
      <c r="P148" s="398"/>
      <c r="Q148" s="398"/>
      <c r="R148" s="398"/>
      <c r="S148" s="398"/>
    </row>
    <row r="149" spans="1:19" s="277" customFormat="1" ht="21">
      <c r="A149" s="696" t="s">
        <v>1032</v>
      </c>
      <c r="B149" s="697"/>
      <c r="C149" s="490">
        <v>2.5</v>
      </c>
      <c r="D149" s="490" t="str">
        <f>IF(('EntryData-ปฐมวัย(ตบช.1-12)'!E190="Auto-calculate"),"Auto-calculate",'EntryData-ปฐมวัย(ตบช.1-12)'!E190)</f>
        <v>Auto-calculate</v>
      </c>
      <c r="E149" s="661"/>
      <c r="F149" s="661"/>
      <c r="G149" s="661"/>
      <c r="H149" s="661"/>
      <c r="I149" s="662"/>
      <c r="J149" s="350"/>
      <c r="K149" s="276"/>
      <c r="L149" s="276"/>
      <c r="M149" s="398"/>
      <c r="N149" s="398"/>
      <c r="O149" s="397"/>
      <c r="P149" s="398"/>
      <c r="Q149" s="398"/>
      <c r="R149" s="398"/>
      <c r="S149" s="398"/>
    </row>
    <row r="150" spans="1:19" s="277" customFormat="1" ht="39" customHeight="1">
      <c r="A150" s="696" t="s">
        <v>1033</v>
      </c>
      <c r="B150" s="697"/>
      <c r="C150" s="490">
        <v>2.5</v>
      </c>
      <c r="D150" s="490" t="str">
        <f>IF(('EntryData-ปฐมวัย(ตบช.1-12)'!E191="Auto-calculate"),"Auto-calculate",'EntryData-ปฐมวัย(ตบช.1-12)'!E191)</f>
        <v>Auto-calculate</v>
      </c>
      <c r="E150" s="661"/>
      <c r="F150" s="661"/>
      <c r="G150" s="661"/>
      <c r="H150" s="661"/>
      <c r="I150" s="662"/>
      <c r="J150" s="350"/>
      <c r="K150" s="276"/>
      <c r="L150" s="276"/>
      <c r="M150" s="398"/>
      <c r="N150" s="398"/>
      <c r="O150" s="397"/>
      <c r="P150" s="398"/>
      <c r="Q150" s="398"/>
      <c r="R150" s="398"/>
      <c r="S150" s="398"/>
    </row>
    <row r="151" spans="1:19" s="277" customFormat="1" ht="21.75" thickBot="1">
      <c r="A151" s="680" t="s">
        <v>977</v>
      </c>
      <c r="B151" s="681"/>
      <c r="C151" s="485">
        <v>5</v>
      </c>
      <c r="D151" s="368" t="str">
        <f>IF(('EntryData-ปฐมวัย(ตบช.1-12)'!E182="Auto-calculate"),"Auto-calculate",'EntryData-ปฐมวัย(ตบช.1-12)'!E182)</f>
        <v>Auto-calculate</v>
      </c>
      <c r="E151" s="361" t="str">
        <f>IF((D151="Auto-calculate"),":",IF(AND((D151&gt;=0),(D151&lt;=2.49)),"ü",""))</f>
        <v>:</v>
      </c>
      <c r="F151" s="361" t="str">
        <f>IF((D151="Auto-calculate"),":",IF(AND((D151&gt;=2.5),(D151&lt;=2.99)),"ü",""))</f>
        <v>:</v>
      </c>
      <c r="G151" s="361" t="str">
        <f>IF((D151="Auto-calculate"),":",IF(AND((D151&gt;=3),(D151&lt;=3.74)),"ü",""))</f>
        <v>:</v>
      </c>
      <c r="H151" s="361" t="str">
        <f>IF((D151="Auto-calculate"),":",IF(AND((D151&gt;=3.75),(D151&lt;=4.49)),"ü",""))</f>
        <v>:</v>
      </c>
      <c r="I151" s="362" t="str">
        <f>IF((D151="Auto-calculate"),":",IF(AND((D151&gt;=4.5),(D151&lt;=5)),"ü",""))</f>
        <v>:</v>
      </c>
      <c r="J151" s="350"/>
      <c r="K151" s="276"/>
      <c r="L151" s="276"/>
      <c r="M151" s="398"/>
      <c r="N151" s="398"/>
      <c r="O151" s="397"/>
      <c r="P151" s="398"/>
      <c r="Q151" s="398"/>
      <c r="R151" s="398"/>
      <c r="S151" s="398"/>
    </row>
    <row r="152" spans="1:19" s="277" customFormat="1" ht="11.25" customHeight="1">
      <c r="A152" s="474"/>
      <c r="B152" s="474"/>
      <c r="C152" s="475"/>
      <c r="D152" s="475"/>
      <c r="E152" s="476"/>
      <c r="F152" s="476"/>
      <c r="G152" s="476"/>
      <c r="H152" s="476"/>
      <c r="I152" s="476"/>
      <c r="J152" s="350"/>
      <c r="K152" s="276"/>
      <c r="L152" s="276"/>
      <c r="M152" s="398"/>
      <c r="N152" s="398"/>
      <c r="O152" s="397"/>
      <c r="P152" s="398"/>
      <c r="Q152" s="398"/>
      <c r="R152" s="398"/>
      <c r="S152" s="398"/>
    </row>
    <row r="153" spans="1:19" s="277" customFormat="1" ht="21">
      <c r="A153" s="474"/>
      <c r="B153" s="474"/>
      <c r="C153" s="477" t="s">
        <v>79</v>
      </c>
      <c r="D153" s="486" t="str">
        <f>IF(('EntryData-ปฐมวัย(ตบช.1-12)'!F182="Auto-calculate"),"Auto-calculate",'EntryData-ปฐมวัย(ตบช.1-12)'!F182)</f>
        <v>Auto-calculate</v>
      </c>
      <c r="E153" s="476"/>
      <c r="F153" s="476"/>
      <c r="G153" s="476"/>
      <c r="H153" s="476"/>
      <c r="I153" s="476"/>
      <c r="J153" s="350"/>
      <c r="K153" s="276"/>
      <c r="L153" s="276"/>
      <c r="M153" s="398"/>
      <c r="N153" s="398"/>
      <c r="O153" s="397"/>
      <c r="P153" s="398"/>
      <c r="Q153" s="398"/>
      <c r="R153" s="398"/>
      <c r="S153" s="398"/>
    </row>
    <row r="154" spans="1:19" s="277" customFormat="1" ht="8.25" customHeight="1">
      <c r="A154" s="474"/>
      <c r="B154" s="474"/>
      <c r="C154" s="475"/>
      <c r="D154" s="475"/>
      <c r="E154" s="476"/>
      <c r="F154" s="476"/>
      <c r="G154" s="476"/>
      <c r="H154" s="476"/>
      <c r="I154" s="476"/>
      <c r="J154" s="350"/>
      <c r="K154" s="276"/>
      <c r="L154" s="276"/>
      <c r="M154" s="398"/>
      <c r="N154" s="398"/>
      <c r="O154" s="397"/>
      <c r="P154" s="398"/>
      <c r="Q154" s="398"/>
      <c r="R154" s="398"/>
      <c r="S154" s="398"/>
    </row>
    <row r="155" spans="1:19" s="277" customFormat="1" ht="21">
      <c r="A155" s="472" t="s">
        <v>833</v>
      </c>
      <c r="B155" s="472"/>
      <c r="C155" s="350"/>
      <c r="D155" s="350"/>
      <c r="E155" s="350"/>
      <c r="F155" s="350"/>
      <c r="G155" s="350"/>
      <c r="I155" s="275"/>
      <c r="J155" s="276"/>
      <c r="M155" s="397"/>
      <c r="N155" s="398"/>
      <c r="O155" s="398"/>
      <c r="P155" s="398"/>
      <c r="Q155" s="398"/>
      <c r="R155" s="398"/>
      <c r="S155" s="398"/>
    </row>
    <row r="156" spans="1:19" s="277" customFormat="1" ht="9" customHeight="1">
      <c r="A156" s="472"/>
      <c r="B156" s="472"/>
      <c r="C156" s="350"/>
      <c r="D156" s="350"/>
      <c r="E156" s="350"/>
      <c r="F156" s="350"/>
      <c r="G156" s="350"/>
      <c r="I156" s="275"/>
      <c r="J156" s="276"/>
      <c r="M156" s="397"/>
      <c r="N156" s="398"/>
      <c r="O156" s="398"/>
      <c r="P156" s="398"/>
      <c r="Q156" s="398"/>
      <c r="R156" s="398"/>
      <c r="S156" s="398"/>
    </row>
    <row r="157" spans="1:19" s="277" customFormat="1" ht="21">
      <c r="A157" s="473" t="s">
        <v>547</v>
      </c>
      <c r="B157" s="473"/>
      <c r="C157" s="350"/>
      <c r="D157" s="350"/>
      <c r="E157" s="350"/>
      <c r="F157" s="350"/>
      <c r="G157" s="350"/>
      <c r="I157" s="275"/>
      <c r="J157" s="276"/>
      <c r="M157" s="397"/>
      <c r="N157" s="398"/>
      <c r="O157" s="398"/>
      <c r="P157" s="398"/>
      <c r="Q157" s="398"/>
      <c r="R157" s="398"/>
      <c r="S157" s="398"/>
    </row>
    <row r="158" spans="3:19" s="277" customFormat="1" ht="9.75" customHeight="1" thickBot="1">
      <c r="C158" s="350"/>
      <c r="D158" s="350"/>
      <c r="E158" s="350"/>
      <c r="F158" s="350"/>
      <c r="G158" s="350"/>
      <c r="I158" s="275"/>
      <c r="J158" s="276"/>
      <c r="M158" s="397"/>
      <c r="N158" s="398"/>
      <c r="O158" s="398"/>
      <c r="P158" s="398"/>
      <c r="Q158" s="398"/>
      <c r="R158" s="398"/>
      <c r="S158" s="398"/>
    </row>
    <row r="159" spans="1:19" s="277" customFormat="1" ht="21">
      <c r="A159" s="689" t="s">
        <v>31</v>
      </c>
      <c r="B159" s="690"/>
      <c r="C159" s="285" t="s">
        <v>644</v>
      </c>
      <c r="D159" s="285" t="s">
        <v>689</v>
      </c>
      <c r="E159" s="684" t="s">
        <v>697</v>
      </c>
      <c r="F159" s="685"/>
      <c r="G159" s="685"/>
      <c r="H159" s="685"/>
      <c r="I159" s="686"/>
      <c r="J159" s="350"/>
      <c r="K159" s="276"/>
      <c r="L159" s="276"/>
      <c r="M159" s="398"/>
      <c r="N159" s="398"/>
      <c r="O159" s="397"/>
      <c r="P159" s="398"/>
      <c r="Q159" s="398"/>
      <c r="R159" s="398"/>
      <c r="S159" s="398"/>
    </row>
    <row r="160" spans="1:19" s="277" customFormat="1" ht="42">
      <c r="A160" s="691"/>
      <c r="B160" s="692"/>
      <c r="C160" s="333" t="s">
        <v>831</v>
      </c>
      <c r="D160" s="334" t="s">
        <v>690</v>
      </c>
      <c r="E160" s="316" t="s">
        <v>691</v>
      </c>
      <c r="F160" s="316" t="s">
        <v>692</v>
      </c>
      <c r="G160" s="316" t="s">
        <v>822</v>
      </c>
      <c r="H160" s="316" t="s">
        <v>823</v>
      </c>
      <c r="I160" s="317" t="s">
        <v>824</v>
      </c>
      <c r="J160" s="350"/>
      <c r="K160" s="276"/>
      <c r="L160" s="276"/>
      <c r="M160" s="398"/>
      <c r="N160" s="398"/>
      <c r="O160" s="397"/>
      <c r="P160" s="398"/>
      <c r="Q160" s="398"/>
      <c r="R160" s="398"/>
      <c r="S160" s="398"/>
    </row>
    <row r="161" spans="1:19" s="277" customFormat="1" ht="46.5" customHeight="1">
      <c r="A161" s="687" t="s">
        <v>548</v>
      </c>
      <c r="B161" s="688"/>
      <c r="C161" s="367">
        <v>2.5</v>
      </c>
      <c r="D161" s="367" t="str">
        <f>IF(('EntryData-ปฐมวัย(ตบช.1-12)'!E200="Auto-calculate"),"Auto-calculate",'EntryData-ปฐมวัย(ตบช.1-12)'!E200)</f>
        <v>Auto-calculate</v>
      </c>
      <c r="E161" s="363" t="str">
        <f>IF((D161="Auto-calculate"),":",IF(OR((D161=0),(D161=0.5)),"ü",""))</f>
        <v>:</v>
      </c>
      <c r="F161" s="363" t="str">
        <f>IF((D161="Auto-calculate"),":",IF((D161=1),"ü",""))</f>
        <v>:</v>
      </c>
      <c r="G161" s="363" t="str">
        <f>IF((D161="Auto-calculate"),":",IF((D161=1.5),"ü",""))</f>
        <v>:</v>
      </c>
      <c r="H161" s="363" t="str">
        <f>IF((D161="Auto-calculate"),":",IF((D161=2),"ü",""))</f>
        <v>:</v>
      </c>
      <c r="I161" s="364" t="str">
        <f>IF((D161="Auto-calculate"),":",IF((D161=2.5),"ü",""))</f>
        <v>:</v>
      </c>
      <c r="J161" s="350"/>
      <c r="K161" s="276"/>
      <c r="L161" s="276"/>
      <c r="M161" s="398"/>
      <c r="N161" s="398"/>
      <c r="O161" s="397"/>
      <c r="P161" s="398"/>
      <c r="Q161" s="398"/>
      <c r="R161" s="398"/>
      <c r="S161" s="398"/>
    </row>
    <row r="162" spans="1:19" s="277" customFormat="1" ht="21.75" thickBot="1">
      <c r="A162" s="680" t="s">
        <v>978</v>
      </c>
      <c r="B162" s="681"/>
      <c r="C162" s="485">
        <f>SUM(C161:C161)</f>
        <v>2.5</v>
      </c>
      <c r="D162" s="368" t="str">
        <f>IF(('EntryData-ปฐมวัย(ตบช.1-12)'!E200="Auto-calculate"),"Auto-calculate",'EntryData-ปฐมวัย(ตบช.1-12)'!E200)</f>
        <v>Auto-calculate</v>
      </c>
      <c r="E162" s="361" t="str">
        <f>IF((D162="Auto-calculate"),":",IF(OR((D162=0),(D162=0.5)),"ü",""))</f>
        <v>:</v>
      </c>
      <c r="F162" s="361" t="str">
        <f>IF((D162="Auto-calculate"),":",IF((D162=1),"ü",""))</f>
        <v>:</v>
      </c>
      <c r="G162" s="361" t="str">
        <f>IF((D162="Auto-calculate"),":",IF((D162=1.5),"ü",""))</f>
        <v>:</v>
      </c>
      <c r="H162" s="361" t="str">
        <f>IF((D162="Auto-calculate"),":",IF((D162=2),"ü",""))</f>
        <v>:</v>
      </c>
      <c r="I162" s="362" t="str">
        <f>IF((D162="Auto-calculate"),":",IF((D162=2.5),"ü",""))</f>
        <v>:</v>
      </c>
      <c r="J162" s="350"/>
      <c r="K162" s="276"/>
      <c r="L162" s="276"/>
      <c r="M162" s="398"/>
      <c r="N162" s="398"/>
      <c r="O162" s="397"/>
      <c r="P162" s="398"/>
      <c r="Q162" s="398"/>
      <c r="R162" s="398"/>
      <c r="S162" s="398"/>
    </row>
    <row r="163" spans="1:19" s="277" customFormat="1" ht="11.25" customHeight="1">
      <c r="A163" s="474"/>
      <c r="B163" s="474"/>
      <c r="C163" s="475"/>
      <c r="D163" s="475"/>
      <c r="E163" s="476"/>
      <c r="F163" s="476"/>
      <c r="G163" s="476"/>
      <c r="H163" s="476"/>
      <c r="I163" s="476"/>
      <c r="J163" s="350"/>
      <c r="K163" s="276"/>
      <c r="L163" s="276"/>
      <c r="M163" s="398"/>
      <c r="N163" s="398"/>
      <c r="O163" s="397"/>
      <c r="P163" s="398"/>
      <c r="Q163" s="398"/>
      <c r="R163" s="398"/>
      <c r="S163" s="398"/>
    </row>
    <row r="164" spans="1:19" s="277" customFormat="1" ht="21">
      <c r="A164" s="474"/>
      <c r="B164" s="474"/>
      <c r="C164" s="477" t="s">
        <v>78</v>
      </c>
      <c r="D164" s="486" t="str">
        <f>IF(('EntryData-ปฐมวัย(ตบช.1-12)'!F200="Auto-calculate"),"Auto-calculate",'EntryData-ปฐมวัย(ตบช.1-12)'!F200)</f>
        <v>Auto-calculate</v>
      </c>
      <c r="E164" s="476"/>
      <c r="F164" s="476"/>
      <c r="G164" s="476"/>
      <c r="H164" s="476"/>
      <c r="I164" s="476"/>
      <c r="J164" s="350"/>
      <c r="K164" s="276"/>
      <c r="L164" s="276"/>
      <c r="M164" s="398"/>
      <c r="N164" s="398"/>
      <c r="O164" s="397"/>
      <c r="P164" s="398"/>
      <c r="Q164" s="398"/>
      <c r="R164" s="398"/>
      <c r="S164" s="398"/>
    </row>
    <row r="165" spans="1:19" s="277" customFormat="1" ht="10.5" customHeight="1">
      <c r="A165" s="472"/>
      <c r="B165" s="472"/>
      <c r="C165" s="350"/>
      <c r="D165" s="350"/>
      <c r="E165" s="350"/>
      <c r="F165" s="350"/>
      <c r="G165" s="350"/>
      <c r="I165" s="275"/>
      <c r="J165" s="276"/>
      <c r="M165" s="397"/>
      <c r="N165" s="398"/>
      <c r="O165" s="398"/>
      <c r="P165" s="398"/>
      <c r="Q165" s="398"/>
      <c r="R165" s="398"/>
      <c r="S165" s="398"/>
    </row>
    <row r="166" spans="1:19" s="277" customFormat="1" ht="21">
      <c r="A166" s="473" t="s">
        <v>549</v>
      </c>
      <c r="B166" s="473"/>
      <c r="C166" s="350"/>
      <c r="D166" s="350"/>
      <c r="E166" s="350"/>
      <c r="F166" s="350"/>
      <c r="G166" s="350"/>
      <c r="I166" s="275"/>
      <c r="J166" s="276"/>
      <c r="M166" s="397"/>
      <c r="N166" s="398"/>
      <c r="O166" s="398"/>
      <c r="P166" s="398"/>
      <c r="Q166" s="398"/>
      <c r="R166" s="398"/>
      <c r="S166" s="398"/>
    </row>
    <row r="167" spans="3:19" s="277" customFormat="1" ht="9.75" customHeight="1" thickBot="1">
      <c r="C167" s="350"/>
      <c r="D167" s="350"/>
      <c r="E167" s="350"/>
      <c r="F167" s="350"/>
      <c r="G167" s="350"/>
      <c r="I167" s="275"/>
      <c r="J167" s="276"/>
      <c r="M167" s="397"/>
      <c r="N167" s="398"/>
      <c r="O167" s="398"/>
      <c r="P167" s="398"/>
      <c r="Q167" s="398"/>
      <c r="R167" s="398"/>
      <c r="S167" s="398"/>
    </row>
    <row r="168" spans="1:19" s="277" customFormat="1" ht="21">
      <c r="A168" s="689" t="s">
        <v>31</v>
      </c>
      <c r="B168" s="690"/>
      <c r="C168" s="285" t="s">
        <v>644</v>
      </c>
      <c r="D168" s="285" t="s">
        <v>689</v>
      </c>
      <c r="E168" s="684" t="s">
        <v>697</v>
      </c>
      <c r="F168" s="685"/>
      <c r="G168" s="685"/>
      <c r="H168" s="685"/>
      <c r="I168" s="686"/>
      <c r="J168" s="350"/>
      <c r="K168" s="276"/>
      <c r="L168" s="276"/>
      <c r="M168" s="398"/>
      <c r="N168" s="398"/>
      <c r="O168" s="397"/>
      <c r="P168" s="398"/>
      <c r="Q168" s="398"/>
      <c r="R168" s="398"/>
      <c r="S168" s="398"/>
    </row>
    <row r="169" spans="1:19" s="277" customFormat="1" ht="42">
      <c r="A169" s="691"/>
      <c r="B169" s="692"/>
      <c r="C169" s="333" t="s">
        <v>831</v>
      </c>
      <c r="D169" s="286" t="s">
        <v>690</v>
      </c>
      <c r="E169" s="316" t="s">
        <v>691</v>
      </c>
      <c r="F169" s="316" t="s">
        <v>692</v>
      </c>
      <c r="G169" s="316" t="s">
        <v>822</v>
      </c>
      <c r="H169" s="316" t="s">
        <v>823</v>
      </c>
      <c r="I169" s="317" t="s">
        <v>824</v>
      </c>
      <c r="J169" s="350"/>
      <c r="K169" s="276"/>
      <c r="L169" s="276"/>
      <c r="M169" s="398"/>
      <c r="N169" s="398"/>
      <c r="O169" s="397"/>
      <c r="P169" s="398"/>
      <c r="Q169" s="398"/>
      <c r="R169" s="398"/>
      <c r="S169" s="398"/>
    </row>
    <row r="170" spans="1:19" s="277" customFormat="1" ht="44.25" customHeight="1">
      <c r="A170" s="687" t="s">
        <v>550</v>
      </c>
      <c r="B170" s="688"/>
      <c r="C170" s="367">
        <v>2.5</v>
      </c>
      <c r="D170" s="367" t="str">
        <f>IF(('EntryData-ปฐมวัย(ตบช.1-12)'!E206="Auto-calculate"),"Auto-calculate",'EntryData-ปฐมวัย(ตบช.1-12)'!E206)</f>
        <v>Auto-calculate</v>
      </c>
      <c r="E170" s="363" t="str">
        <f>IF((D170="Auto-calculate"),":",IF(OR((D170=0),(D170=0.5)),"ü",""))</f>
        <v>:</v>
      </c>
      <c r="F170" s="363" t="str">
        <f>IF((D170="Auto-calculate"),":",IF((D170=1),"ü",""))</f>
        <v>:</v>
      </c>
      <c r="G170" s="363" t="str">
        <f>IF((D170="Auto-calculate"),":",IF((D170=1.5),"ü",""))</f>
        <v>:</v>
      </c>
      <c r="H170" s="363" t="str">
        <f>IF((D170="Auto-calculate"),":",IF((D170=2),"ü",""))</f>
        <v>:</v>
      </c>
      <c r="I170" s="364" t="str">
        <f>IF((D170="Auto-calculate"),":",IF((D170=2.5),"ü",""))</f>
        <v>:</v>
      </c>
      <c r="J170" s="350"/>
      <c r="K170" s="276"/>
      <c r="L170" s="276"/>
      <c r="M170" s="398"/>
      <c r="N170" s="398"/>
      <c r="O170" s="397"/>
      <c r="P170" s="398"/>
      <c r="Q170" s="398"/>
      <c r="R170" s="398"/>
      <c r="S170" s="398"/>
    </row>
    <row r="171" spans="1:19" s="277" customFormat="1" ht="21.75" thickBot="1">
      <c r="A171" s="680" t="s">
        <v>979</v>
      </c>
      <c r="B171" s="681"/>
      <c r="C171" s="485">
        <f>SUM(C170:C170)</f>
        <v>2.5</v>
      </c>
      <c r="D171" s="368" t="str">
        <f>IF(('EntryData-ปฐมวัย(ตบช.1-12)'!E206="Auto-calculate"),"Auto-calculate",'EntryData-ปฐมวัย(ตบช.1-12)'!E206)</f>
        <v>Auto-calculate</v>
      </c>
      <c r="E171" s="361" t="str">
        <f>IF((D171="Auto-calculate"),":",IF(OR((D171=0),(D171=0.5)),"ü",""))</f>
        <v>:</v>
      </c>
      <c r="F171" s="361" t="str">
        <f>IF((D171="Auto-calculate"),":",IF((D171=1),"ü",""))</f>
        <v>:</v>
      </c>
      <c r="G171" s="361" t="str">
        <f>IF((D171="Auto-calculate"),":",IF((D171=1.5),"ü",""))</f>
        <v>:</v>
      </c>
      <c r="H171" s="361" t="str">
        <f>IF((D171="Auto-calculate"),":",IF((D171=2),"ü",""))</f>
        <v>:</v>
      </c>
      <c r="I171" s="362" t="str">
        <f>IF((D171="Auto-calculate"),":",IF((D171=2.5),"ü",""))</f>
        <v>:</v>
      </c>
      <c r="J171" s="350"/>
      <c r="K171" s="276"/>
      <c r="L171" s="276"/>
      <c r="M171" s="398"/>
      <c r="N171" s="398"/>
      <c r="O171" s="397"/>
      <c r="P171" s="398"/>
      <c r="Q171" s="398"/>
      <c r="R171" s="398"/>
      <c r="S171" s="398"/>
    </row>
    <row r="172" spans="1:19" s="277" customFormat="1" ht="11.25" customHeight="1">
      <c r="A172" s="474"/>
      <c r="B172" s="474"/>
      <c r="C172" s="475"/>
      <c r="D172" s="475"/>
      <c r="E172" s="476"/>
      <c r="F172" s="476"/>
      <c r="G172" s="476"/>
      <c r="H172" s="476"/>
      <c r="I172" s="476"/>
      <c r="J172" s="350"/>
      <c r="K172" s="276"/>
      <c r="L172" s="276"/>
      <c r="M172" s="398"/>
      <c r="N172" s="398"/>
      <c r="O172" s="397"/>
      <c r="P172" s="398"/>
      <c r="Q172" s="398"/>
      <c r="R172" s="398"/>
      <c r="S172" s="398"/>
    </row>
    <row r="173" spans="1:19" s="277" customFormat="1" ht="21">
      <c r="A173" s="474"/>
      <c r="B173" s="474"/>
      <c r="C173" s="477" t="s">
        <v>77</v>
      </c>
      <c r="D173" s="486" t="str">
        <f>IF(('EntryData-ปฐมวัย(ตบช.1-12)'!F206="Auto-calculate"),"Auto-calculate",'EntryData-ปฐมวัย(ตบช.1-12)'!F206)</f>
        <v>Auto-calculate</v>
      </c>
      <c r="E173" s="476"/>
      <c r="F173" s="476"/>
      <c r="G173" s="476"/>
      <c r="H173" s="476"/>
      <c r="I173" s="476"/>
      <c r="J173" s="350"/>
      <c r="K173" s="276"/>
      <c r="L173" s="276"/>
      <c r="M173" s="398"/>
      <c r="N173" s="398"/>
      <c r="O173" s="397"/>
      <c r="P173" s="398"/>
      <c r="Q173" s="398"/>
      <c r="R173" s="398"/>
      <c r="S173" s="398"/>
    </row>
    <row r="174" spans="1:19" s="277" customFormat="1" ht="24.75" customHeight="1">
      <c r="A174" s="474"/>
      <c r="B174" s="474"/>
      <c r="D174" s="477"/>
      <c r="E174" s="476"/>
      <c r="F174" s="476"/>
      <c r="G174" s="476"/>
      <c r="H174" s="476"/>
      <c r="I174" s="476"/>
      <c r="J174" s="350"/>
      <c r="K174" s="276"/>
      <c r="L174" s="276"/>
      <c r="M174" s="398"/>
      <c r="N174" s="398"/>
      <c r="O174" s="397"/>
      <c r="P174" s="398"/>
      <c r="Q174" s="398"/>
      <c r="R174" s="398"/>
      <c r="S174" s="398"/>
    </row>
    <row r="175" spans="1:19" s="277" customFormat="1" ht="21">
      <c r="A175" s="472" t="s">
        <v>834</v>
      </c>
      <c r="B175" s="472"/>
      <c r="C175" s="350"/>
      <c r="D175" s="350"/>
      <c r="E175" s="350"/>
      <c r="F175" s="350"/>
      <c r="G175" s="350"/>
      <c r="I175" s="275"/>
      <c r="J175" s="276"/>
      <c r="M175" s="397"/>
      <c r="N175" s="398"/>
      <c r="O175" s="398"/>
      <c r="P175" s="398"/>
      <c r="Q175" s="398"/>
      <c r="R175" s="398"/>
      <c r="S175" s="398"/>
    </row>
    <row r="176" spans="1:19" s="277" customFormat="1" ht="12" customHeight="1">
      <c r="A176" s="472"/>
      <c r="B176" s="472"/>
      <c r="C176" s="350"/>
      <c r="D176" s="350"/>
      <c r="E176" s="350"/>
      <c r="F176" s="350"/>
      <c r="G176" s="350"/>
      <c r="I176" s="275"/>
      <c r="J176" s="276"/>
      <c r="M176" s="397"/>
      <c r="N176" s="398"/>
      <c r="O176" s="398"/>
      <c r="P176" s="398"/>
      <c r="Q176" s="398"/>
      <c r="R176" s="398"/>
      <c r="S176" s="398"/>
    </row>
    <row r="177" spans="1:19" s="277" customFormat="1" ht="21">
      <c r="A177" s="473" t="s">
        <v>551</v>
      </c>
      <c r="B177" s="473"/>
      <c r="C177" s="350"/>
      <c r="D177" s="350"/>
      <c r="E177" s="350"/>
      <c r="F177" s="350"/>
      <c r="G177" s="350"/>
      <c r="I177" s="275"/>
      <c r="J177" s="276"/>
      <c r="M177" s="397"/>
      <c r="N177" s="398"/>
      <c r="O177" s="398"/>
      <c r="P177" s="398"/>
      <c r="Q177" s="398"/>
      <c r="R177" s="398"/>
      <c r="S177" s="398"/>
    </row>
    <row r="178" spans="3:19" s="277" customFormat="1" ht="9.75" customHeight="1" thickBot="1">
      <c r="C178" s="350"/>
      <c r="D178" s="350"/>
      <c r="E178" s="350"/>
      <c r="F178" s="350"/>
      <c r="G178" s="350"/>
      <c r="I178" s="275"/>
      <c r="J178" s="276"/>
      <c r="M178" s="397"/>
      <c r="N178" s="398"/>
      <c r="O178" s="398"/>
      <c r="P178" s="398"/>
      <c r="Q178" s="398"/>
      <c r="R178" s="398"/>
      <c r="S178" s="398"/>
    </row>
    <row r="179" spans="1:19" s="277" customFormat="1" ht="21">
      <c r="A179" s="689" t="s">
        <v>688</v>
      </c>
      <c r="B179" s="690"/>
      <c r="C179" s="285" t="s">
        <v>644</v>
      </c>
      <c r="D179" s="285" t="s">
        <v>689</v>
      </c>
      <c r="E179" s="684" t="s">
        <v>697</v>
      </c>
      <c r="F179" s="685"/>
      <c r="G179" s="685"/>
      <c r="H179" s="685"/>
      <c r="I179" s="686"/>
      <c r="J179" s="350"/>
      <c r="K179" s="276"/>
      <c r="L179" s="276"/>
      <c r="M179" s="398"/>
      <c r="N179" s="398"/>
      <c r="O179" s="397"/>
      <c r="P179" s="398"/>
      <c r="Q179" s="398"/>
      <c r="R179" s="398"/>
      <c r="S179" s="398"/>
    </row>
    <row r="180" spans="1:19" s="277" customFormat="1" ht="42">
      <c r="A180" s="691"/>
      <c r="B180" s="692"/>
      <c r="C180" s="333" t="s">
        <v>831</v>
      </c>
      <c r="D180" s="320" t="s">
        <v>690</v>
      </c>
      <c r="E180" s="316" t="s">
        <v>691</v>
      </c>
      <c r="F180" s="316" t="s">
        <v>692</v>
      </c>
      <c r="G180" s="316" t="s">
        <v>822</v>
      </c>
      <c r="H180" s="316" t="s">
        <v>823</v>
      </c>
      <c r="I180" s="317" t="s">
        <v>824</v>
      </c>
      <c r="J180" s="350"/>
      <c r="K180" s="276"/>
      <c r="L180" s="276"/>
      <c r="M180" s="398"/>
      <c r="N180" s="398"/>
      <c r="O180" s="397"/>
      <c r="P180" s="398"/>
      <c r="Q180" s="398"/>
      <c r="R180" s="398"/>
      <c r="S180" s="398"/>
    </row>
    <row r="181" spans="1:19" s="277" customFormat="1" ht="21">
      <c r="A181" s="682" t="s">
        <v>33</v>
      </c>
      <c r="B181" s="683"/>
      <c r="C181" s="367">
        <v>1</v>
      </c>
      <c r="D181" s="367" t="str">
        <f>IF(('EntryData-ปฐมวัย(ตบช.1-12)'!E213="Auto-calculate"),"Auto-calculate",'EntryData-ปฐมวัย(ตบช.1-12)'!E213)</f>
        <v>Auto-calculate</v>
      </c>
      <c r="E181" s="648"/>
      <c r="F181" s="648"/>
      <c r="G181" s="648"/>
      <c r="H181" s="648"/>
      <c r="I181" s="649"/>
      <c r="J181" s="350"/>
      <c r="K181" s="276"/>
      <c r="L181" s="276"/>
      <c r="M181" s="398"/>
      <c r="N181" s="398"/>
      <c r="O181" s="397"/>
      <c r="P181" s="398"/>
      <c r="Q181" s="398"/>
      <c r="R181" s="398"/>
      <c r="S181" s="398"/>
    </row>
    <row r="182" spans="1:19" s="277" customFormat="1" ht="21">
      <c r="A182" s="682" t="s">
        <v>34</v>
      </c>
      <c r="B182" s="683"/>
      <c r="C182" s="367">
        <v>1.5</v>
      </c>
      <c r="D182" s="367" t="str">
        <f>IF(('EntryData-ปฐมวัย(ตบช.1-12)'!E218="Auto-calculate"),"Auto-calculate",'EntryData-ปฐมวัย(ตบช.1-12)'!E218)</f>
        <v>Auto-calculate</v>
      </c>
      <c r="E182" s="648"/>
      <c r="F182" s="648"/>
      <c r="G182" s="648"/>
      <c r="H182" s="648"/>
      <c r="I182" s="649"/>
      <c r="J182" s="350"/>
      <c r="K182" s="276"/>
      <c r="L182" s="276"/>
      <c r="M182" s="398"/>
      <c r="N182" s="398"/>
      <c r="O182" s="397"/>
      <c r="P182" s="398"/>
      <c r="Q182" s="398"/>
      <c r="R182" s="398"/>
      <c r="S182" s="398"/>
    </row>
    <row r="183" spans="1:19" s="277" customFormat="1" ht="21.75" thickBot="1">
      <c r="A183" s="680" t="s">
        <v>980</v>
      </c>
      <c r="B183" s="681"/>
      <c r="C183" s="485">
        <v>2.5</v>
      </c>
      <c r="D183" s="368" t="str">
        <f>IF(('EntryData-ปฐมวัย(ตบช.1-12)'!E212="Auto-calculate"),"Auto-calculate",'EntryData-ปฐมวัย(ตบช.1-12)'!E212)</f>
        <v>Auto-calculate</v>
      </c>
      <c r="E183" s="361" t="str">
        <f>IF((D183="Auto-calculate"),":",IF(AND((D183&gt;=0),(D183&lt;=1.24)),"ü",""))</f>
        <v>:</v>
      </c>
      <c r="F183" s="361" t="str">
        <f>IF((D183="Auto-calculate"),":",IF(AND((D183&gt;=1.25),(D183&lt;=1.49)),"ü",""))</f>
        <v>:</v>
      </c>
      <c r="G183" s="361" t="str">
        <f>IF((D183="Auto-calculate"),":",IF(AND((D183&gt;=1.5),(D183&lt;=1.87)),"ü",""))</f>
        <v>:</v>
      </c>
      <c r="H183" s="361" t="str">
        <f>IF((D183="Auto-calculate"),":",IF(AND((D183&gt;=1.88),(D183&lt;=2.24)),"ü",""))</f>
        <v>:</v>
      </c>
      <c r="I183" s="362" t="str">
        <f>IF((D183="Auto-calculate"),":",IF(AND((D183&gt;=2.25),(D183&lt;=2.5)),"ü",""))</f>
        <v>:</v>
      </c>
      <c r="J183" s="350"/>
      <c r="K183" s="276"/>
      <c r="L183" s="276"/>
      <c r="M183" s="398"/>
      <c r="N183" s="398"/>
      <c r="O183" s="397"/>
      <c r="P183" s="398"/>
      <c r="Q183" s="398"/>
      <c r="R183" s="398"/>
      <c r="S183" s="398"/>
    </row>
    <row r="184" spans="1:19" s="277" customFormat="1" ht="11.25" customHeight="1">
      <c r="A184" s="474"/>
      <c r="B184" s="474"/>
      <c r="C184" s="475"/>
      <c r="D184" s="475"/>
      <c r="E184" s="476"/>
      <c r="F184" s="476"/>
      <c r="G184" s="476"/>
      <c r="H184" s="476"/>
      <c r="I184" s="476"/>
      <c r="J184" s="350"/>
      <c r="K184" s="276"/>
      <c r="L184" s="276"/>
      <c r="M184" s="398"/>
      <c r="N184" s="398"/>
      <c r="O184" s="397"/>
      <c r="P184" s="398"/>
      <c r="Q184" s="398"/>
      <c r="R184" s="398"/>
      <c r="S184" s="398"/>
    </row>
    <row r="185" spans="1:19" s="277" customFormat="1" ht="21">
      <c r="A185" s="474"/>
      <c r="B185" s="474"/>
      <c r="C185" s="477" t="s">
        <v>76</v>
      </c>
      <c r="D185" s="486" t="str">
        <f>IF(('EntryData-ปฐมวัย(ตบช.1-12)'!F212="Auto-calculate"),"Auto-calculate",'EntryData-ปฐมวัย(ตบช.1-12)'!F212)</f>
        <v>Auto-calculate</v>
      </c>
      <c r="E185" s="476"/>
      <c r="F185" s="476"/>
      <c r="G185" s="476"/>
      <c r="H185" s="476"/>
      <c r="I185" s="476"/>
      <c r="J185" s="350"/>
      <c r="K185" s="276"/>
      <c r="L185" s="276"/>
      <c r="M185" s="398"/>
      <c r="N185" s="398"/>
      <c r="O185" s="397"/>
      <c r="P185" s="398"/>
      <c r="Q185" s="398"/>
      <c r="R185" s="398"/>
      <c r="S185" s="398"/>
    </row>
    <row r="186" spans="1:19" s="277" customFormat="1" ht="21">
      <c r="A186" s="474"/>
      <c r="B186" s="474"/>
      <c r="D186" s="477"/>
      <c r="E186" s="476"/>
      <c r="F186" s="476"/>
      <c r="G186" s="476"/>
      <c r="H186" s="476"/>
      <c r="I186" s="476"/>
      <c r="J186" s="350"/>
      <c r="K186" s="276"/>
      <c r="L186" s="276"/>
      <c r="M186" s="398"/>
      <c r="N186" s="398"/>
      <c r="O186" s="397"/>
      <c r="P186" s="398"/>
      <c r="Q186" s="398"/>
      <c r="R186" s="398"/>
      <c r="S186" s="398"/>
    </row>
    <row r="187" spans="1:19" s="277" customFormat="1" ht="21">
      <c r="A187" s="473" t="s">
        <v>552</v>
      </c>
      <c r="B187" s="491" t="s">
        <v>553</v>
      </c>
      <c r="C187" s="350"/>
      <c r="D187" s="350"/>
      <c r="E187" s="350"/>
      <c r="F187" s="350"/>
      <c r="G187" s="350"/>
      <c r="I187" s="275"/>
      <c r="J187" s="276"/>
      <c r="M187" s="397"/>
      <c r="N187" s="398"/>
      <c r="O187" s="398"/>
      <c r="P187" s="398"/>
      <c r="Q187" s="398"/>
      <c r="R187" s="398"/>
      <c r="S187" s="398"/>
    </row>
    <row r="188" spans="1:19" s="277" customFormat="1" ht="21">
      <c r="A188" s="491" t="s">
        <v>45</v>
      </c>
      <c r="B188" s="491" t="s">
        <v>554</v>
      </c>
      <c r="C188" s="350"/>
      <c r="D188" s="350"/>
      <c r="E188" s="350"/>
      <c r="F188" s="350"/>
      <c r="G188" s="350"/>
      <c r="I188" s="275"/>
      <c r="J188" s="276"/>
      <c r="M188" s="397"/>
      <c r="N188" s="398"/>
      <c r="O188" s="398"/>
      <c r="P188" s="398"/>
      <c r="Q188" s="398"/>
      <c r="R188" s="398"/>
      <c r="S188" s="398"/>
    </row>
    <row r="189" spans="3:19" s="277" customFormat="1" ht="9.75" customHeight="1" thickBot="1">
      <c r="C189" s="350"/>
      <c r="D189" s="350"/>
      <c r="E189" s="350"/>
      <c r="F189" s="350"/>
      <c r="G189" s="350"/>
      <c r="I189" s="275"/>
      <c r="J189" s="276"/>
      <c r="M189" s="397"/>
      <c r="N189" s="398"/>
      <c r="O189" s="398"/>
      <c r="P189" s="398"/>
      <c r="Q189" s="398"/>
      <c r="R189" s="398"/>
      <c r="S189" s="398"/>
    </row>
    <row r="190" spans="1:19" s="277" customFormat="1" ht="21">
      <c r="A190" s="689" t="s">
        <v>688</v>
      </c>
      <c r="B190" s="690"/>
      <c r="C190" s="285" t="s">
        <v>644</v>
      </c>
      <c r="D190" s="285" t="s">
        <v>689</v>
      </c>
      <c r="E190" s="684" t="s">
        <v>697</v>
      </c>
      <c r="F190" s="685"/>
      <c r="G190" s="685"/>
      <c r="H190" s="685"/>
      <c r="I190" s="686"/>
      <c r="J190" s="350"/>
      <c r="K190" s="276"/>
      <c r="L190" s="276"/>
      <c r="M190" s="398"/>
      <c r="N190" s="398"/>
      <c r="O190" s="397"/>
      <c r="P190" s="398"/>
      <c r="Q190" s="398"/>
      <c r="R190" s="398"/>
      <c r="S190" s="398"/>
    </row>
    <row r="191" spans="1:19" s="277" customFormat="1" ht="42">
      <c r="A191" s="691"/>
      <c r="B191" s="692"/>
      <c r="C191" s="333" t="s">
        <v>831</v>
      </c>
      <c r="D191" s="286" t="s">
        <v>690</v>
      </c>
      <c r="E191" s="316" t="s">
        <v>691</v>
      </c>
      <c r="F191" s="316" t="s">
        <v>692</v>
      </c>
      <c r="G191" s="316" t="s">
        <v>822</v>
      </c>
      <c r="H191" s="316" t="s">
        <v>823</v>
      </c>
      <c r="I191" s="317" t="s">
        <v>824</v>
      </c>
      <c r="J191" s="350"/>
      <c r="K191" s="276"/>
      <c r="L191" s="276"/>
      <c r="M191" s="398"/>
      <c r="N191" s="398"/>
      <c r="O191" s="397"/>
      <c r="P191" s="398"/>
      <c r="Q191" s="398"/>
      <c r="R191" s="398"/>
      <c r="S191" s="398"/>
    </row>
    <row r="192" spans="1:19" s="277" customFormat="1" ht="65.25" customHeight="1">
      <c r="A192" s="687" t="s">
        <v>36</v>
      </c>
      <c r="B192" s="688"/>
      <c r="C192" s="367">
        <v>2.5</v>
      </c>
      <c r="D192" s="367" t="str">
        <f>IF(('EntryData-ปฐมวัย(ตบช.1-12)'!E219="Auto-calculate"),"Auto-calculate",'EntryData-ปฐมวัย(ตบช.1-12)'!E219)</f>
        <v>Auto-calculate</v>
      </c>
      <c r="E192" s="363" t="str">
        <f>IF((D192="Auto-calculate"),":",IF(OR((D192=0),(D192=0.5)),"ü",""))</f>
        <v>:</v>
      </c>
      <c r="F192" s="363" t="str">
        <f>IF((D192="Auto-calculate"),":",IF((D192=1),"ü",""))</f>
        <v>:</v>
      </c>
      <c r="G192" s="363" t="str">
        <f>IF((D192="Auto-calculate"),":",IF((D192=1.5),"ü",""))</f>
        <v>:</v>
      </c>
      <c r="H192" s="363" t="str">
        <f>IF((D192="Auto-calculate"),":",IF((D192=2),"ü",""))</f>
        <v>:</v>
      </c>
      <c r="I192" s="364" t="str">
        <f>IF((D192="Auto-calculate"),":",IF((D192=2.5),"ü",""))</f>
        <v>:</v>
      </c>
      <c r="J192" s="350"/>
      <c r="K192" s="276"/>
      <c r="L192" s="276"/>
      <c r="M192" s="398"/>
      <c r="N192" s="398"/>
      <c r="O192" s="397"/>
      <c r="P192" s="398"/>
      <c r="Q192" s="398"/>
      <c r="R192" s="398"/>
      <c r="S192" s="398"/>
    </row>
    <row r="193" spans="1:19" s="277" customFormat="1" ht="21.75" thickBot="1">
      <c r="A193" s="680" t="s">
        <v>981</v>
      </c>
      <c r="B193" s="681"/>
      <c r="C193" s="485">
        <f>SUM(C192:C192)</f>
        <v>2.5</v>
      </c>
      <c r="D193" s="368" t="str">
        <f>IF(('EntryData-ปฐมวัย(ตบช.1-12)'!E219="Auto-calculate"),"Auto-calculate",'EntryData-ปฐมวัย(ตบช.1-12)'!E219)</f>
        <v>Auto-calculate</v>
      </c>
      <c r="E193" s="361" t="str">
        <f>IF((D193="Auto-calculate"),":",IF(OR((D193=0),(D193=0.5)),"ü",""))</f>
        <v>:</v>
      </c>
      <c r="F193" s="361" t="str">
        <f>IF((D193="Auto-calculate"),":",IF((D193=1),"ü",""))</f>
        <v>:</v>
      </c>
      <c r="G193" s="361" t="str">
        <f>IF((D193="Auto-calculate"),":",IF((D193=1.5),"ü",""))</f>
        <v>:</v>
      </c>
      <c r="H193" s="361" t="str">
        <f>IF((D193="Auto-calculate"),":",IF((D193=2),"ü",""))</f>
        <v>:</v>
      </c>
      <c r="I193" s="362" t="str">
        <f>IF((D193="Auto-calculate"),":",IF((D193=2.5),"ü",""))</f>
        <v>:</v>
      </c>
      <c r="J193" s="350"/>
      <c r="K193" s="276"/>
      <c r="L193" s="276"/>
      <c r="M193" s="398"/>
      <c r="N193" s="398"/>
      <c r="O193" s="397"/>
      <c r="P193" s="398"/>
      <c r="Q193" s="398"/>
      <c r="R193" s="398"/>
      <c r="S193" s="398"/>
    </row>
    <row r="194" spans="1:19" s="277" customFormat="1" ht="11.25" customHeight="1">
      <c r="A194" s="474"/>
      <c r="B194" s="474"/>
      <c r="C194" s="475"/>
      <c r="D194" s="475"/>
      <c r="E194" s="476"/>
      <c r="F194" s="476"/>
      <c r="G194" s="476"/>
      <c r="H194" s="476"/>
      <c r="I194" s="476"/>
      <c r="J194" s="350"/>
      <c r="K194" s="276"/>
      <c r="L194" s="276"/>
      <c r="M194" s="398"/>
      <c r="N194" s="398"/>
      <c r="O194" s="397"/>
      <c r="P194" s="398"/>
      <c r="Q194" s="398"/>
      <c r="R194" s="398"/>
      <c r="S194" s="398"/>
    </row>
    <row r="195" spans="1:19" s="277" customFormat="1" ht="21">
      <c r="A195" s="474"/>
      <c r="B195" s="474"/>
      <c r="C195" s="477" t="s">
        <v>75</v>
      </c>
      <c r="D195" s="492" t="str">
        <f>IF(('EntryData-ปฐมวัย(ตบช.1-12)'!F219="Auto-calculate"),"Auto-calculate",'EntryData-ปฐมวัย(ตบช.1-12)'!F219)</f>
        <v>Auto-calculate</v>
      </c>
      <c r="E195" s="476"/>
      <c r="F195" s="476"/>
      <c r="G195" s="476"/>
      <c r="H195" s="476"/>
      <c r="I195" s="476"/>
      <c r="J195" s="350"/>
      <c r="K195" s="276"/>
      <c r="L195" s="276"/>
      <c r="M195" s="398"/>
      <c r="N195" s="398"/>
      <c r="O195" s="397"/>
      <c r="P195" s="398"/>
      <c r="Q195" s="398"/>
      <c r="R195" s="398"/>
      <c r="S195" s="398"/>
    </row>
    <row r="196" spans="1:2" ht="21">
      <c r="A196" s="283"/>
      <c r="B196" s="283"/>
    </row>
    <row r="197" spans="1:3" ht="21">
      <c r="A197" s="284" t="s">
        <v>724</v>
      </c>
      <c r="B197" s="284"/>
      <c r="C197" s="294"/>
    </row>
    <row r="198" spans="1:3" ht="12" customHeight="1">
      <c r="A198" s="284"/>
      <c r="B198" s="284"/>
      <c r="C198" s="294"/>
    </row>
    <row r="199" spans="1:3" ht="21">
      <c r="A199" s="327" t="s">
        <v>39</v>
      </c>
      <c r="B199" s="327"/>
      <c r="C199" s="328"/>
    </row>
    <row r="200" spans="1:3" ht="21">
      <c r="A200" s="327"/>
      <c r="B200" s="327"/>
      <c r="C200" s="328"/>
    </row>
    <row r="201" spans="1:10" ht="20.25">
      <c r="A201" s="329" t="s">
        <v>73</v>
      </c>
      <c r="B201" s="329"/>
      <c r="C201" s="330"/>
      <c r="I201" s="264"/>
      <c r="J201" s="263"/>
    </row>
    <row r="202" spans="1:10" ht="20.25">
      <c r="A202" s="331" t="s">
        <v>37</v>
      </c>
      <c r="B202" s="358" t="s">
        <v>72</v>
      </c>
      <c r="I202" s="264"/>
      <c r="J202" s="263"/>
    </row>
    <row r="203" spans="1:10" ht="20.25">
      <c r="A203" s="331" t="s">
        <v>38</v>
      </c>
      <c r="B203" s="358" t="s">
        <v>751</v>
      </c>
      <c r="C203" s="330"/>
      <c r="I203" s="264"/>
      <c r="J203" s="263"/>
    </row>
    <row r="204" spans="1:10" ht="20.25">
      <c r="A204" s="382" t="s">
        <v>752</v>
      </c>
      <c r="C204" s="330"/>
      <c r="I204" s="264"/>
      <c r="J204" s="263"/>
    </row>
    <row r="205" spans="1:10" ht="12" customHeight="1">
      <c r="A205" s="331"/>
      <c r="B205" s="358"/>
      <c r="C205" s="330"/>
      <c r="I205" s="264"/>
      <c r="J205" s="263"/>
    </row>
    <row r="206" spans="1:11" ht="21">
      <c r="A206" s="296" t="str">
        <f>"ตัวบ่งชี้ที่มีคุณภาพระดับดีขึ้นไป (เรียงลำดับตามระดับคุณภาพจากดีมาก -&gt; ดี โดยเรียงตามลำดับตัวบ่งชี้) จำนวน "&amp;K206&amp;" มาตรฐาน คือ"</f>
        <v>ตัวบ่งชี้ที่มีคุณภาพระดับดีขึ้นไป (เรียงลำดับตามระดับคุณภาพจากดีมาก -&gt; ดี โดยเรียงตามลำดับตัวบ่งชี้) จำนวน 0 มาตรฐาน คือ</v>
      </c>
      <c r="B206" s="296"/>
      <c r="C206" s="294"/>
      <c r="J206" s="383" t="s">
        <v>754</v>
      </c>
      <c r="K206" s="385">
        <f>SUM((COUNTIF(F209:F220,"ดีมาก")),(COUNTIF(F209:F220,"ดี")))</f>
        <v>0</v>
      </c>
    </row>
    <row r="207" spans="1:3" ht="8.25" customHeight="1" thickBot="1">
      <c r="A207" s="296"/>
      <c r="B207" s="296"/>
      <c r="C207" s="294"/>
    </row>
    <row r="208" spans="1:10" ht="42.75" thickBot="1">
      <c r="A208" s="297" t="s">
        <v>798</v>
      </c>
      <c r="B208" s="693" t="s">
        <v>799</v>
      </c>
      <c r="C208" s="694"/>
      <c r="D208" s="694"/>
      <c r="E208" s="695"/>
      <c r="F208" s="297" t="s">
        <v>697</v>
      </c>
      <c r="G208" s="297" t="s">
        <v>830</v>
      </c>
      <c r="H208" s="297" t="s">
        <v>826</v>
      </c>
      <c r="J208" s="413" t="s">
        <v>755</v>
      </c>
    </row>
    <row r="209" spans="1:10" ht="21" customHeight="1">
      <c r="A209" s="389">
        <v>1</v>
      </c>
      <c r="B209" s="412" t="s">
        <v>640</v>
      </c>
      <c r="C209" s="389"/>
      <c r="D209" s="389"/>
      <c r="E209" s="389"/>
      <c r="F209" s="389" t="s">
        <v>750</v>
      </c>
      <c r="G209" s="414" t="s">
        <v>750</v>
      </c>
      <c r="H209" s="415">
        <v>1</v>
      </c>
      <c r="J209" s="384">
        <f aca="true" t="shared" si="5" ref="J209:J220">IF((F209="ดีมาก"),1,IF((F209="ดี"),2,IF((F209="พอใช้"),3,IF((F209="ต้องปรับปรุง"),4,IF((F209="ต้องปรับปรุงเร่งด่วน"),5,0)))))</f>
        <v>0</v>
      </c>
    </row>
    <row r="210" spans="1:10" ht="21" customHeight="1">
      <c r="A210" s="389">
        <v>2</v>
      </c>
      <c r="B210" s="412" t="s">
        <v>440</v>
      </c>
      <c r="C210" s="389"/>
      <c r="D210" s="389"/>
      <c r="E210" s="389"/>
      <c r="F210" s="389" t="s">
        <v>750</v>
      </c>
      <c r="G210" s="414" t="s">
        <v>750</v>
      </c>
      <c r="H210" s="415">
        <v>2</v>
      </c>
      <c r="J210" s="384">
        <f t="shared" si="5"/>
        <v>0</v>
      </c>
    </row>
    <row r="211" spans="1:10" ht="21.75" customHeight="1">
      <c r="A211" s="389">
        <v>3</v>
      </c>
      <c r="B211" s="412" t="s">
        <v>443</v>
      </c>
      <c r="C211" s="389"/>
      <c r="D211" s="389"/>
      <c r="E211" s="389"/>
      <c r="F211" s="389" t="s">
        <v>750</v>
      </c>
      <c r="G211" s="414" t="s">
        <v>750</v>
      </c>
      <c r="H211" s="415">
        <v>3</v>
      </c>
      <c r="J211" s="384">
        <f t="shared" si="5"/>
        <v>0</v>
      </c>
    </row>
    <row r="212" spans="1:10" ht="21" customHeight="1">
      <c r="A212" s="389">
        <v>4</v>
      </c>
      <c r="B212" s="412" t="s">
        <v>446</v>
      </c>
      <c r="C212" s="389"/>
      <c r="D212" s="389"/>
      <c r="E212" s="389"/>
      <c r="F212" s="389" t="s">
        <v>750</v>
      </c>
      <c r="G212" s="414" t="s">
        <v>750</v>
      </c>
      <c r="H212" s="415">
        <v>4</v>
      </c>
      <c r="J212" s="384">
        <f t="shared" si="5"/>
        <v>0</v>
      </c>
    </row>
    <row r="213" spans="1:10" ht="21">
      <c r="A213" s="389">
        <v>5</v>
      </c>
      <c r="B213" s="412" t="s">
        <v>451</v>
      </c>
      <c r="C213" s="389"/>
      <c r="D213" s="389"/>
      <c r="E213" s="389"/>
      <c r="F213" s="389" t="s">
        <v>750</v>
      </c>
      <c r="G213" s="414" t="s">
        <v>750</v>
      </c>
      <c r="H213" s="415">
        <v>5</v>
      </c>
      <c r="J213" s="384">
        <f t="shared" si="5"/>
        <v>0</v>
      </c>
    </row>
    <row r="214" spans="1:10" ht="21" customHeight="1">
      <c r="A214" s="389">
        <v>6</v>
      </c>
      <c r="B214" s="412" t="s">
        <v>557</v>
      </c>
      <c r="C214" s="389"/>
      <c r="D214" s="389"/>
      <c r="E214" s="389"/>
      <c r="F214" s="389" t="s">
        <v>750</v>
      </c>
      <c r="G214" s="414" t="s">
        <v>750</v>
      </c>
      <c r="H214" s="415">
        <v>6</v>
      </c>
      <c r="J214" s="384">
        <f t="shared" si="5"/>
        <v>0</v>
      </c>
    </row>
    <row r="215" spans="1:10" ht="21" customHeight="1">
      <c r="A215" s="389">
        <v>7</v>
      </c>
      <c r="B215" s="412" t="s">
        <v>876</v>
      </c>
      <c r="C215" s="389"/>
      <c r="D215" s="389"/>
      <c r="E215" s="389"/>
      <c r="F215" s="389" t="s">
        <v>750</v>
      </c>
      <c r="G215" s="414" t="s">
        <v>750</v>
      </c>
      <c r="H215" s="415">
        <v>7</v>
      </c>
      <c r="J215" s="384">
        <f t="shared" si="5"/>
        <v>0</v>
      </c>
    </row>
    <row r="216" spans="1:10" ht="21">
      <c r="A216" s="389">
        <v>8</v>
      </c>
      <c r="B216" s="412" t="s">
        <v>583</v>
      </c>
      <c r="C216" s="389"/>
      <c r="D216" s="389"/>
      <c r="E216" s="389"/>
      <c r="F216" s="389" t="s">
        <v>750</v>
      </c>
      <c r="G216" s="414" t="s">
        <v>750</v>
      </c>
      <c r="H216" s="415">
        <v>8</v>
      </c>
      <c r="J216" s="384">
        <f t="shared" si="5"/>
        <v>0</v>
      </c>
    </row>
    <row r="217" spans="1:10" ht="21" customHeight="1">
      <c r="A217" s="389">
        <v>9</v>
      </c>
      <c r="B217" s="412" t="s">
        <v>558</v>
      </c>
      <c r="C217" s="389"/>
      <c r="D217" s="389"/>
      <c r="E217" s="389"/>
      <c r="F217" s="389" t="s">
        <v>750</v>
      </c>
      <c r="G217" s="414" t="s">
        <v>750</v>
      </c>
      <c r="H217" s="415">
        <v>9</v>
      </c>
      <c r="J217" s="384">
        <f t="shared" si="5"/>
        <v>0</v>
      </c>
    </row>
    <row r="218" spans="1:10" ht="21" customHeight="1">
      <c r="A218" s="389">
        <v>10</v>
      </c>
      <c r="B218" s="412" t="s">
        <v>660</v>
      </c>
      <c r="C218" s="389"/>
      <c r="D218" s="389"/>
      <c r="E218" s="389"/>
      <c r="F218" s="389" t="s">
        <v>750</v>
      </c>
      <c r="G218" s="414" t="s">
        <v>750</v>
      </c>
      <c r="H218" s="415">
        <v>10</v>
      </c>
      <c r="J218" s="384">
        <f t="shared" si="5"/>
        <v>0</v>
      </c>
    </row>
    <row r="219" spans="1:10" ht="21">
      <c r="A219" s="389">
        <v>11</v>
      </c>
      <c r="B219" s="412" t="s">
        <v>61</v>
      </c>
      <c r="C219" s="389"/>
      <c r="D219" s="389"/>
      <c r="E219" s="389"/>
      <c r="F219" s="389" t="s">
        <v>750</v>
      </c>
      <c r="G219" s="414" t="s">
        <v>750</v>
      </c>
      <c r="H219" s="415">
        <v>11</v>
      </c>
      <c r="J219" s="384">
        <f t="shared" si="5"/>
        <v>0</v>
      </c>
    </row>
    <row r="220" spans="1:10" ht="21" customHeight="1">
      <c r="A220" s="389">
        <v>12</v>
      </c>
      <c r="B220" s="412" t="s">
        <v>559</v>
      </c>
      <c r="C220" s="389"/>
      <c r="D220" s="389"/>
      <c r="E220" s="389"/>
      <c r="F220" s="389" t="s">
        <v>750</v>
      </c>
      <c r="G220" s="414" t="s">
        <v>750</v>
      </c>
      <c r="H220" s="415">
        <v>12</v>
      </c>
      <c r="J220" s="384">
        <f t="shared" si="5"/>
        <v>0</v>
      </c>
    </row>
    <row r="221" spans="1:6" ht="21">
      <c r="A221" s="292"/>
      <c r="B221" s="292"/>
      <c r="C221" s="294"/>
      <c r="F221" s="298"/>
    </row>
    <row r="222" spans="1:11" ht="21">
      <c r="A222" s="296" t="str">
        <f>"ตัวบ่งชี้ที่มีคุณภาพต่ำกว่าระดับดี  (เรียงลำดับตามระดับคุณภาพจาก ต้องปรับปรุงเร่งด่วน -&gt; พอใช้ โดยเรียงตามลำดับตัวบ่งชี้) จำนวน "&amp;K222&amp;" มาตรฐาน คือ"</f>
        <v>ตัวบ่งชี้ที่มีคุณภาพต่ำกว่าระดับดี  (เรียงลำดับตามระดับคุณภาพจาก ต้องปรับปรุงเร่งด่วน -&gt; พอใช้ โดยเรียงตามลำดับตัวบ่งชี้) จำนวน 0 มาตรฐาน คือ</v>
      </c>
      <c r="B222" s="296"/>
      <c r="C222" s="294"/>
      <c r="F222" s="298"/>
      <c r="J222" s="383" t="s">
        <v>753</v>
      </c>
      <c r="K222" s="386">
        <f>SUM((COUNTIF(F225:F236,"พอใช้")),(COUNTIF(F225:F236,"ต้องปรับปรุง")),(COUNTIF(F225:F236,"ต้องปรับปรุงเร่งด่วน")))</f>
        <v>0</v>
      </c>
    </row>
    <row r="223" spans="1:6" ht="12.75" customHeight="1" thickBot="1">
      <c r="A223" s="296"/>
      <c r="B223" s="296"/>
      <c r="C223" s="294"/>
      <c r="F223" s="298"/>
    </row>
    <row r="224" spans="1:10" ht="37.5" customHeight="1" thickBot="1">
      <c r="A224" s="297" t="s">
        <v>798</v>
      </c>
      <c r="B224" s="693" t="s">
        <v>799</v>
      </c>
      <c r="C224" s="694"/>
      <c r="D224" s="694"/>
      <c r="E224" s="695"/>
      <c r="F224" s="297" t="s">
        <v>697</v>
      </c>
      <c r="G224" s="297" t="s">
        <v>830</v>
      </c>
      <c r="H224" s="297" t="s">
        <v>826</v>
      </c>
      <c r="J224" s="413" t="s">
        <v>755</v>
      </c>
    </row>
    <row r="225" spans="1:10" ht="21" customHeight="1">
      <c r="A225" s="392">
        <v>1</v>
      </c>
      <c r="B225" s="408" t="s">
        <v>640</v>
      </c>
      <c r="C225" s="392"/>
      <c r="D225" s="393"/>
      <c r="E225" s="393"/>
      <c r="F225" s="392" t="s">
        <v>750</v>
      </c>
      <c r="G225" s="394" t="s">
        <v>750</v>
      </c>
      <c r="H225" s="416">
        <v>1</v>
      </c>
      <c r="J225" s="384">
        <f aca="true" t="shared" si="6" ref="J225:J236">IF((F225="ดีมาก"),1,IF((F225="ดี"),2,IF((F225="พอใช้"),3,IF((F225="ต้องปรับปรุง"),4,IF((F225="ต้องปรับปรุงเร่งด่วน"),5,0)))))</f>
        <v>0</v>
      </c>
    </row>
    <row r="226" spans="1:10" ht="21">
      <c r="A226" s="392">
        <v>2</v>
      </c>
      <c r="B226" s="408" t="s">
        <v>440</v>
      </c>
      <c r="C226" s="392"/>
      <c r="D226" s="409"/>
      <c r="E226" s="409"/>
      <c r="F226" s="392" t="s">
        <v>750</v>
      </c>
      <c r="G226" s="394" t="s">
        <v>750</v>
      </c>
      <c r="H226" s="416">
        <v>2</v>
      </c>
      <c r="J226" s="384">
        <f t="shared" si="6"/>
        <v>0</v>
      </c>
    </row>
    <row r="227" spans="1:10" ht="21" customHeight="1">
      <c r="A227" s="392">
        <v>3</v>
      </c>
      <c r="B227" s="408" t="s">
        <v>443</v>
      </c>
      <c r="C227" s="392"/>
      <c r="D227" s="409"/>
      <c r="E227" s="409"/>
      <c r="F227" s="392" t="s">
        <v>750</v>
      </c>
      <c r="G227" s="394" t="s">
        <v>750</v>
      </c>
      <c r="H227" s="416">
        <v>3</v>
      </c>
      <c r="J227" s="384">
        <f t="shared" si="6"/>
        <v>0</v>
      </c>
    </row>
    <row r="228" spans="1:10" ht="21" customHeight="1">
      <c r="A228" s="392">
        <v>4</v>
      </c>
      <c r="B228" s="408" t="s">
        <v>446</v>
      </c>
      <c r="C228" s="392"/>
      <c r="D228" s="409"/>
      <c r="E228" s="409"/>
      <c r="F228" s="392" t="s">
        <v>750</v>
      </c>
      <c r="G228" s="394" t="s">
        <v>750</v>
      </c>
      <c r="H228" s="416">
        <v>4</v>
      </c>
      <c r="J228" s="384">
        <f t="shared" si="6"/>
        <v>0</v>
      </c>
    </row>
    <row r="229" spans="1:10" ht="21.75" customHeight="1">
      <c r="A229" s="392">
        <v>5</v>
      </c>
      <c r="B229" s="408" t="s">
        <v>451</v>
      </c>
      <c r="C229" s="392"/>
      <c r="D229" s="409"/>
      <c r="E229" s="409"/>
      <c r="F229" s="392" t="s">
        <v>750</v>
      </c>
      <c r="G229" s="394" t="s">
        <v>750</v>
      </c>
      <c r="H229" s="416">
        <v>5</v>
      </c>
      <c r="J229" s="384">
        <f t="shared" si="6"/>
        <v>0</v>
      </c>
    </row>
    <row r="230" spans="1:10" ht="21" customHeight="1">
      <c r="A230" s="392">
        <v>6</v>
      </c>
      <c r="B230" s="408" t="s">
        <v>557</v>
      </c>
      <c r="C230" s="392"/>
      <c r="D230" s="409"/>
      <c r="E230" s="409"/>
      <c r="F230" s="392" t="s">
        <v>750</v>
      </c>
      <c r="G230" s="394" t="s">
        <v>750</v>
      </c>
      <c r="H230" s="416">
        <v>6</v>
      </c>
      <c r="J230" s="384">
        <f t="shared" si="6"/>
        <v>0</v>
      </c>
    </row>
    <row r="231" spans="1:10" ht="21" customHeight="1">
      <c r="A231" s="392">
        <v>7</v>
      </c>
      <c r="B231" s="408" t="s">
        <v>876</v>
      </c>
      <c r="C231" s="392"/>
      <c r="D231" s="409"/>
      <c r="E231" s="409"/>
      <c r="F231" s="392" t="s">
        <v>750</v>
      </c>
      <c r="G231" s="394" t="s">
        <v>750</v>
      </c>
      <c r="H231" s="416">
        <v>7</v>
      </c>
      <c r="J231" s="384">
        <f t="shared" si="6"/>
        <v>0</v>
      </c>
    </row>
    <row r="232" spans="1:10" ht="21" customHeight="1">
      <c r="A232" s="392">
        <v>8</v>
      </c>
      <c r="B232" s="408" t="s">
        <v>583</v>
      </c>
      <c r="C232" s="392"/>
      <c r="D232" s="409"/>
      <c r="E232" s="409"/>
      <c r="F232" s="392" t="s">
        <v>750</v>
      </c>
      <c r="G232" s="394" t="s">
        <v>750</v>
      </c>
      <c r="H232" s="416">
        <v>8</v>
      </c>
      <c r="J232" s="384">
        <f t="shared" si="6"/>
        <v>0</v>
      </c>
    </row>
    <row r="233" spans="1:10" ht="21" customHeight="1">
      <c r="A233" s="392">
        <v>9</v>
      </c>
      <c r="B233" s="408" t="s">
        <v>558</v>
      </c>
      <c r="C233" s="392"/>
      <c r="D233" s="409"/>
      <c r="E233" s="409"/>
      <c r="F233" s="392" t="s">
        <v>750</v>
      </c>
      <c r="G233" s="394" t="s">
        <v>750</v>
      </c>
      <c r="H233" s="416">
        <v>9</v>
      </c>
      <c r="J233" s="384">
        <f t="shared" si="6"/>
        <v>0</v>
      </c>
    </row>
    <row r="234" spans="1:10" ht="21">
      <c r="A234" s="392">
        <v>10</v>
      </c>
      <c r="B234" s="408" t="s">
        <v>660</v>
      </c>
      <c r="C234" s="392"/>
      <c r="D234" s="409"/>
      <c r="E234" s="409"/>
      <c r="F234" s="392" t="s">
        <v>750</v>
      </c>
      <c r="G234" s="394" t="s">
        <v>750</v>
      </c>
      <c r="H234" s="416">
        <v>10</v>
      </c>
      <c r="J234" s="384">
        <f t="shared" si="6"/>
        <v>0</v>
      </c>
    </row>
    <row r="235" spans="1:10" ht="21" customHeight="1">
      <c r="A235" s="392">
        <v>11</v>
      </c>
      <c r="B235" s="408" t="s">
        <v>61</v>
      </c>
      <c r="C235" s="392"/>
      <c r="D235" s="409"/>
      <c r="E235" s="409"/>
      <c r="F235" s="392" t="s">
        <v>750</v>
      </c>
      <c r="G235" s="394" t="s">
        <v>750</v>
      </c>
      <c r="H235" s="416">
        <v>11</v>
      </c>
      <c r="J235" s="384">
        <f t="shared" si="6"/>
        <v>0</v>
      </c>
    </row>
    <row r="236" spans="1:10" ht="21">
      <c r="A236" s="392">
        <v>12</v>
      </c>
      <c r="B236" s="408" t="s">
        <v>559</v>
      </c>
      <c r="C236" s="392"/>
      <c r="D236" s="409"/>
      <c r="E236" s="409"/>
      <c r="F236" s="392" t="s">
        <v>750</v>
      </c>
      <c r="G236" s="394" t="s">
        <v>750</v>
      </c>
      <c r="H236" s="416">
        <v>12</v>
      </c>
      <c r="J236" s="384">
        <f t="shared" si="6"/>
        <v>0</v>
      </c>
    </row>
    <row r="237" spans="1:3" ht="21">
      <c r="A237" s="292"/>
      <c r="B237" s="292"/>
      <c r="C237" s="294"/>
    </row>
    <row r="238" spans="1:19" s="47" customFormat="1" ht="21">
      <c r="A238" s="299" t="s">
        <v>827</v>
      </c>
      <c r="B238" s="299"/>
      <c r="D238" s="292"/>
      <c r="E238" s="300"/>
      <c r="F238" s="264"/>
      <c r="G238" s="301"/>
      <c r="J238" s="372"/>
      <c r="M238" s="400"/>
      <c r="N238" s="76"/>
      <c r="O238" s="76"/>
      <c r="P238" s="76"/>
      <c r="Q238" s="76"/>
      <c r="R238" s="76"/>
      <c r="S238" s="76"/>
    </row>
    <row r="239" spans="1:19" s="48" customFormat="1" ht="23.25">
      <c r="A239" s="302" t="s">
        <v>828</v>
      </c>
      <c r="B239" s="302"/>
      <c r="D239" s="303"/>
      <c r="E239" s="300"/>
      <c r="F239" s="304"/>
      <c r="G239" s="305"/>
      <c r="J239" s="61"/>
      <c r="M239" s="401"/>
      <c r="N239" s="78"/>
      <c r="O239" s="78"/>
      <c r="P239" s="78"/>
      <c r="Q239" s="78"/>
      <c r="R239" s="78"/>
      <c r="S239" s="78"/>
    </row>
    <row r="240" spans="1:19" s="48" customFormat="1" ht="23.25">
      <c r="A240" s="306" t="s">
        <v>829</v>
      </c>
      <c r="B240" s="306"/>
      <c r="D240" s="303"/>
      <c r="E240" s="300"/>
      <c r="F240" s="304"/>
      <c r="G240" s="305"/>
      <c r="J240" s="61"/>
      <c r="M240" s="401"/>
      <c r="N240" s="78"/>
      <c r="O240" s="78"/>
      <c r="P240" s="78"/>
      <c r="Q240" s="78"/>
      <c r="R240" s="78"/>
      <c r="S240" s="78"/>
    </row>
  </sheetData>
  <sheetProtection password="D502" sheet="1" formatCells="0" formatColumns="0" formatRows="0" sort="0"/>
  <protectedRanges>
    <protectedRange sqref="A209:IV220 A225:IV236" name="Sort"/>
  </protectedRanges>
  <mergeCells count="105">
    <mergeCell ref="E108:I108"/>
    <mergeCell ref="A98:B98"/>
    <mergeCell ref="A96:B97"/>
    <mergeCell ref="A102:B102"/>
    <mergeCell ref="A108:B109"/>
    <mergeCell ref="E66:I66"/>
    <mergeCell ref="E76:I76"/>
    <mergeCell ref="E86:I86"/>
    <mergeCell ref="E96:I96"/>
    <mergeCell ref="A100:B100"/>
    <mergeCell ref="B60:C60"/>
    <mergeCell ref="A70:B70"/>
    <mergeCell ref="B52:C52"/>
    <mergeCell ref="B41:C41"/>
    <mergeCell ref="A76:B77"/>
    <mergeCell ref="B44:C44"/>
    <mergeCell ref="B54:C54"/>
    <mergeCell ref="A61:C61"/>
    <mergeCell ref="A88:B88"/>
    <mergeCell ref="A90:B90"/>
    <mergeCell ref="A66:B67"/>
    <mergeCell ref="A86:B87"/>
    <mergeCell ref="A78:B78"/>
    <mergeCell ref="A68:B68"/>
    <mergeCell ref="A79:B79"/>
    <mergeCell ref="A146:B147"/>
    <mergeCell ref="A80:B80"/>
    <mergeCell ref="A138:B138"/>
    <mergeCell ref="E118:I118"/>
    <mergeCell ref="A26:D26"/>
    <mergeCell ref="A27:D27"/>
    <mergeCell ref="B47:C47"/>
    <mergeCell ref="B49:C49"/>
    <mergeCell ref="B46:C46"/>
    <mergeCell ref="A36:C36"/>
    <mergeCell ref="E132:I132"/>
    <mergeCell ref="A7:C7"/>
    <mergeCell ref="A8:C8"/>
    <mergeCell ref="B15:C15"/>
    <mergeCell ref="B19:C19"/>
    <mergeCell ref="B17:C17"/>
    <mergeCell ref="A125:B125"/>
    <mergeCell ref="A121:B121"/>
    <mergeCell ref="A122:B122"/>
    <mergeCell ref="B40:C40"/>
    <mergeCell ref="A120:B120"/>
    <mergeCell ref="A118:B119"/>
    <mergeCell ref="A112:B112"/>
    <mergeCell ref="A126:B126"/>
    <mergeCell ref="A69:B69"/>
    <mergeCell ref="A123:B123"/>
    <mergeCell ref="A99:B99"/>
    <mergeCell ref="A101:B101"/>
    <mergeCell ref="A111:B111"/>
    <mergeCell ref="A110:B110"/>
    <mergeCell ref="B3:D3"/>
    <mergeCell ref="B13:C13"/>
    <mergeCell ref="B14:C14"/>
    <mergeCell ref="B42:C42"/>
    <mergeCell ref="A28:D28"/>
    <mergeCell ref="B16:C16"/>
    <mergeCell ref="B23:C23"/>
    <mergeCell ref="A24:C24"/>
    <mergeCell ref="A30:D30"/>
    <mergeCell ref="A37:C37"/>
    <mergeCell ref="A124:B124"/>
    <mergeCell ref="A89:B89"/>
    <mergeCell ref="B57:C57"/>
    <mergeCell ref="B43:C43"/>
    <mergeCell ref="B2:D2"/>
    <mergeCell ref="B11:C11"/>
    <mergeCell ref="B12:C12"/>
    <mergeCell ref="B20:C20"/>
    <mergeCell ref="B22:C22"/>
    <mergeCell ref="B10:C10"/>
    <mergeCell ref="A132:B133"/>
    <mergeCell ref="A151:B151"/>
    <mergeCell ref="A150:B150"/>
    <mergeCell ref="A179:B180"/>
    <mergeCell ref="A149:B149"/>
    <mergeCell ref="A162:B162"/>
    <mergeCell ref="A161:B161"/>
    <mergeCell ref="A139:B139"/>
    <mergeCell ref="A135:B135"/>
    <mergeCell ref="A134:B134"/>
    <mergeCell ref="A136:B136"/>
    <mergeCell ref="B208:E208"/>
    <mergeCell ref="B224:E224"/>
    <mergeCell ref="A192:B192"/>
    <mergeCell ref="A193:B193"/>
    <mergeCell ref="A137:B137"/>
    <mergeCell ref="E146:I146"/>
    <mergeCell ref="A140:B140"/>
    <mergeCell ref="A190:B191"/>
    <mergeCell ref="A182:B182"/>
    <mergeCell ref="A183:B183"/>
    <mergeCell ref="A181:B181"/>
    <mergeCell ref="E190:I190"/>
    <mergeCell ref="E179:I179"/>
    <mergeCell ref="E159:I159"/>
    <mergeCell ref="E168:I168"/>
    <mergeCell ref="A171:B171"/>
    <mergeCell ref="A170:B170"/>
    <mergeCell ref="A159:B160"/>
    <mergeCell ref="A168:B169"/>
  </mergeCells>
  <conditionalFormatting sqref="D225:E236">
    <cfRule type="expression" priority="1" dxfId="17" stopIfTrue="1">
      <formula>$G225="ไม่ได้"</formula>
    </cfRule>
  </conditionalFormatting>
  <conditionalFormatting sqref="A209:H220">
    <cfRule type="expression" priority="3" dxfId="17" stopIfTrue="1">
      <formula>OR(($F209="พอใช้"),($F209="ต้องปรับปรุง"),$F209="ต้องปรับปรุงเร่งด่วน")</formula>
    </cfRule>
  </conditionalFormatting>
  <conditionalFormatting sqref="A225:C236 F225:H236">
    <cfRule type="expression" priority="4" dxfId="17" stopIfTrue="1">
      <formula>OR(($F225="ดีมาก"),($F225="ดี"))</formula>
    </cfRule>
  </conditionalFormatting>
  <conditionalFormatting sqref="E25 E33 B2:B3">
    <cfRule type="expression" priority="2" dxfId="0" stopIfTrue="1">
      <formula>B2&lt;&gt;""</formula>
    </cfRule>
  </conditionalFormatting>
  <dataValidations count="1">
    <dataValidation operator="greaterThan" allowBlank="1" showInputMessage="1" showErrorMessage="1" sqref="F61 F24"/>
  </dataValidations>
  <printOptions/>
  <pageMargins left="0.45" right="0.11811023622047245" top="0.15748031496062992" bottom="0.15748031496062992" header="0.15748031496062992" footer="0.07874015748031496"/>
  <pageSetup horizontalDpi="180" verticalDpi="180" orientation="portrait" paperSize="9" scale="84" r:id="rId2"/>
  <headerFooter alignWithMargins="0">
    <oddFooter>&amp;L&amp;7&amp;Z&amp;F&amp;R&amp;"BrowalliaUPC,ธรรมดา"&amp;14รับรองข้อมูลถูกต้อง     
..........................................</oddFooter>
  </headerFooter>
  <rowBreaks count="7" manualBreakCount="7">
    <brk id="32" max="8" man="1"/>
    <brk id="62" max="8" man="1"/>
    <brk id="105" max="8" man="1"/>
    <brk id="129" max="8" man="1"/>
    <brk id="165" max="8" man="1"/>
    <brk id="195" max="8" man="1"/>
    <brk id="237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C41"/>
  <sheetViews>
    <sheetView view="pageBreakPreview" zoomScale="85" zoomScaleNormal="85" zoomScaleSheetLayoutView="85" zoomScalePageLayoutView="0" workbookViewId="0" topLeftCell="A19">
      <selection activeCell="D35" sqref="D35"/>
    </sheetView>
  </sheetViews>
  <sheetFormatPr defaultColWidth="8.00390625" defaultRowHeight="14.25"/>
  <cols>
    <col min="1" max="1" width="14.00390625" style="445" customWidth="1"/>
    <col min="2" max="2" width="5.625" style="90" customWidth="1"/>
    <col min="3" max="16384" width="8.00390625" style="90" customWidth="1"/>
  </cols>
  <sheetData>
    <row r="1" spans="1:2" ht="20.25">
      <c r="A1" s="443">
        <v>8</v>
      </c>
      <c r="B1" s="444" t="s">
        <v>659</v>
      </c>
    </row>
    <row r="2" spans="2:3" ht="20.25">
      <c r="B2" s="89">
        <v>2.5</v>
      </c>
      <c r="C2" s="615" t="s">
        <v>934</v>
      </c>
    </row>
    <row r="3" spans="2:3" ht="20.25">
      <c r="B3" s="89">
        <v>1.25</v>
      </c>
      <c r="C3" s="615" t="s">
        <v>935</v>
      </c>
    </row>
    <row r="4" spans="2:3" ht="20.25">
      <c r="B4" s="89">
        <v>0</v>
      </c>
      <c r="C4" s="615" t="s">
        <v>936</v>
      </c>
    </row>
    <row r="5" ht="13.5" customHeight="1">
      <c r="B5" s="89"/>
    </row>
    <row r="6" spans="1:2" ht="20.25">
      <c r="A6" s="445">
        <v>9</v>
      </c>
      <c r="B6" s="444" t="s">
        <v>645</v>
      </c>
    </row>
    <row r="7" spans="2:3" ht="20.25">
      <c r="B7" s="446">
        <v>0</v>
      </c>
      <c r="C7" s="90" t="s">
        <v>662</v>
      </c>
    </row>
    <row r="8" spans="2:3" ht="20.25">
      <c r="B8" s="89">
        <v>0.5</v>
      </c>
      <c r="C8" s="90" t="s">
        <v>664</v>
      </c>
    </row>
    <row r="9" spans="2:3" ht="20.25">
      <c r="B9" s="89">
        <v>1</v>
      </c>
      <c r="C9" s="90" t="s">
        <v>667</v>
      </c>
    </row>
    <row r="10" spans="2:3" ht="20.25">
      <c r="B10" s="89">
        <v>1.5</v>
      </c>
      <c r="C10" s="90" t="s">
        <v>670</v>
      </c>
    </row>
    <row r="11" spans="2:3" ht="20.25">
      <c r="B11" s="89">
        <v>2</v>
      </c>
      <c r="C11" s="90" t="s">
        <v>673</v>
      </c>
    </row>
    <row r="12" spans="2:3" ht="20.25">
      <c r="B12" s="89">
        <v>2.5</v>
      </c>
      <c r="C12" s="90" t="s">
        <v>676</v>
      </c>
    </row>
    <row r="13" ht="13.5" customHeight="1"/>
    <row r="14" spans="1:2" ht="20.25">
      <c r="A14" s="445">
        <v>10</v>
      </c>
      <c r="B14" s="444" t="s">
        <v>660</v>
      </c>
    </row>
    <row r="15" spans="2:3" ht="20.25">
      <c r="B15" s="446">
        <v>0</v>
      </c>
      <c r="C15" s="90" t="s">
        <v>662</v>
      </c>
    </row>
    <row r="16" spans="2:3" ht="20.25">
      <c r="B16" s="89">
        <v>0.5</v>
      </c>
      <c r="C16" s="90" t="s">
        <v>664</v>
      </c>
    </row>
    <row r="17" spans="2:3" ht="20.25">
      <c r="B17" s="89">
        <v>1</v>
      </c>
      <c r="C17" s="90" t="s">
        <v>667</v>
      </c>
    </row>
    <row r="18" spans="2:3" ht="20.25">
      <c r="B18" s="89">
        <v>1.5</v>
      </c>
      <c r="C18" s="90" t="s">
        <v>670</v>
      </c>
    </row>
    <row r="19" spans="2:3" ht="20.25">
      <c r="B19" s="89">
        <v>2</v>
      </c>
      <c r="C19" s="90" t="s">
        <v>673</v>
      </c>
    </row>
    <row r="20" spans="2:3" ht="20.25">
      <c r="B20" s="89">
        <v>2.5</v>
      </c>
      <c r="C20" s="90" t="s">
        <v>676</v>
      </c>
    </row>
    <row r="21" ht="13.5" customHeight="1"/>
    <row r="22" spans="1:2" ht="20.25">
      <c r="A22" s="445">
        <v>11</v>
      </c>
      <c r="B22" s="444" t="s">
        <v>645</v>
      </c>
    </row>
    <row r="23" spans="2:3" ht="20.25">
      <c r="B23" s="446">
        <v>0</v>
      </c>
      <c r="C23" s="90" t="s">
        <v>662</v>
      </c>
    </row>
    <row r="24" spans="2:3" ht="20.25">
      <c r="B24" s="89">
        <v>0.25</v>
      </c>
      <c r="C24" s="90" t="s">
        <v>664</v>
      </c>
    </row>
    <row r="25" spans="2:3" ht="20.25">
      <c r="B25" s="89">
        <v>0.5</v>
      </c>
      <c r="C25" s="90" t="s">
        <v>667</v>
      </c>
    </row>
    <row r="26" spans="2:3" ht="20.25">
      <c r="B26" s="89">
        <v>0.75</v>
      </c>
      <c r="C26" s="90" t="s">
        <v>670</v>
      </c>
    </row>
    <row r="27" spans="2:3" ht="20.25">
      <c r="B27" s="89">
        <v>1</v>
      </c>
      <c r="C27" s="624" t="s">
        <v>673</v>
      </c>
    </row>
    <row r="28" ht="11.25" customHeight="1"/>
    <row r="29" spans="1:2" ht="20.25">
      <c r="A29" s="445">
        <v>11</v>
      </c>
      <c r="B29" s="444" t="s">
        <v>659</v>
      </c>
    </row>
    <row r="30" spans="2:3" ht="20.25">
      <c r="B30" s="89">
        <v>0</v>
      </c>
      <c r="C30" s="444" t="s">
        <v>814</v>
      </c>
    </row>
    <row r="31" spans="2:3" ht="20.25">
      <c r="B31" s="89">
        <v>0.5</v>
      </c>
      <c r="C31" s="624" t="s">
        <v>678</v>
      </c>
    </row>
    <row r="32" spans="2:3" ht="20.25">
      <c r="B32" s="89">
        <v>1</v>
      </c>
      <c r="C32" s="624" t="s">
        <v>1027</v>
      </c>
    </row>
    <row r="33" spans="2:3" ht="20.25">
      <c r="B33" s="89">
        <v>1.5</v>
      </c>
      <c r="C33" s="624" t="s">
        <v>1028</v>
      </c>
    </row>
    <row r="34" ht="11.25" customHeight="1"/>
    <row r="35" spans="1:2" ht="20.25">
      <c r="A35" s="445">
        <v>12</v>
      </c>
      <c r="B35" s="444" t="s">
        <v>661</v>
      </c>
    </row>
    <row r="36" spans="2:3" ht="20.25">
      <c r="B36" s="446">
        <v>0</v>
      </c>
      <c r="C36" s="90" t="s">
        <v>663</v>
      </c>
    </row>
    <row r="37" spans="2:3" ht="20.25">
      <c r="B37" s="89">
        <v>0.5</v>
      </c>
      <c r="C37" s="90" t="s">
        <v>665</v>
      </c>
    </row>
    <row r="38" spans="2:3" ht="20.25">
      <c r="B38" s="89">
        <v>1</v>
      </c>
      <c r="C38" s="90" t="s">
        <v>668</v>
      </c>
    </row>
    <row r="39" spans="2:3" ht="20.25">
      <c r="B39" s="89">
        <v>1.5</v>
      </c>
      <c r="C39" s="90" t="s">
        <v>671</v>
      </c>
    </row>
    <row r="40" spans="2:3" ht="20.25">
      <c r="B40" s="89">
        <v>2</v>
      </c>
      <c r="C40" s="90" t="s">
        <v>674</v>
      </c>
    </row>
    <row r="41" spans="2:3" ht="20.25">
      <c r="B41" s="89">
        <v>2.5</v>
      </c>
      <c r="C41" s="90" t="s">
        <v>677</v>
      </c>
    </row>
  </sheetData>
  <sheetProtection/>
  <printOptions/>
  <pageMargins left="0.75" right="0.75" top="0.38" bottom="0.2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1"/>
  </sheetPr>
  <dimension ref="A1:W39"/>
  <sheetViews>
    <sheetView showGridLines="0" zoomScale="70" zoomScaleNormal="70" zoomScaleSheetLayoutView="70" zoomScalePageLayoutView="0" workbookViewId="0" topLeftCell="A6">
      <selection activeCell="D15" sqref="D15"/>
    </sheetView>
  </sheetViews>
  <sheetFormatPr defaultColWidth="9.00390625" defaultRowHeight="14.25"/>
  <cols>
    <col min="1" max="1" width="10.375" style="1" customWidth="1"/>
    <col min="2" max="2" width="42.75390625" style="1" customWidth="1"/>
    <col min="3" max="3" width="8.50390625" style="1" customWidth="1"/>
    <col min="4" max="6" width="8.875" style="111" customWidth="1"/>
    <col min="7" max="7" width="7.625" style="111" customWidth="1"/>
    <col min="8" max="8" width="11.875" style="111" customWidth="1"/>
    <col min="9" max="11" width="15.75390625" style="1" customWidth="1"/>
    <col min="12" max="12" width="11.875" style="111" customWidth="1"/>
    <col min="13" max="13" width="9.00390625" style="246" customWidth="1"/>
    <col min="14" max="14" width="15.625" style="250" customWidth="1"/>
    <col min="15" max="16" width="4.375" style="39" customWidth="1"/>
    <col min="17" max="17" width="8.25390625" style="8" hidden="1" customWidth="1"/>
    <col min="18" max="18" width="10.00390625" style="8" hidden="1" customWidth="1"/>
    <col min="19" max="19" width="9.125" style="8" hidden="1" customWidth="1"/>
    <col min="20" max="23" width="8.25390625" style="8" hidden="1" customWidth="1"/>
    <col min="24" max="16384" width="9.00390625" style="1" customWidth="1"/>
  </cols>
  <sheetData>
    <row r="1" spans="1:14" ht="26.25">
      <c r="A1" s="27" t="s">
        <v>375</v>
      </c>
      <c r="C1" s="80"/>
      <c r="D1" s="109"/>
      <c r="E1" s="113"/>
      <c r="F1" s="115"/>
      <c r="G1" s="115"/>
      <c r="H1" s="115"/>
      <c r="L1" s="115"/>
      <c r="N1" s="247"/>
    </row>
    <row r="2" spans="1:14" ht="26.25">
      <c r="A2" s="27" t="s">
        <v>764</v>
      </c>
      <c r="C2" s="80"/>
      <c r="D2" s="109"/>
      <c r="E2" s="113"/>
      <c r="F2" s="115"/>
      <c r="G2" s="115"/>
      <c r="H2" s="115"/>
      <c r="L2" s="115"/>
      <c r="N2" s="247"/>
    </row>
    <row r="3" spans="1:14" ht="20.25">
      <c r="A3" s="84" t="s">
        <v>70</v>
      </c>
      <c r="C3" s="80"/>
      <c r="D3" s="109"/>
      <c r="E3" s="113"/>
      <c r="F3" s="115"/>
      <c r="G3" s="115"/>
      <c r="H3" s="115"/>
      <c r="L3" s="115"/>
      <c r="N3" s="247"/>
    </row>
    <row r="4" spans="3:14" ht="10.5" customHeight="1" thickBot="1">
      <c r="C4" s="80"/>
      <c r="D4" s="109"/>
      <c r="E4" s="113"/>
      <c r="F4" s="115"/>
      <c r="G4" s="115"/>
      <c r="H4" s="115"/>
      <c r="L4" s="115"/>
      <c r="N4" s="247"/>
    </row>
    <row r="5" spans="1:14" s="85" customFormat="1" ht="30" customHeight="1" thickBot="1">
      <c r="A5" s="86" t="s">
        <v>812</v>
      </c>
      <c r="B5" s="87">
        <f>IF(('EntryData-ข้อมูล1'!C10&lt;&gt;""),'EntryData-ข้อมูล1'!C10,"")</f>
      </c>
      <c r="C5" s="88" t="s">
        <v>642</v>
      </c>
      <c r="D5" s="110"/>
      <c r="E5" s="114"/>
      <c r="F5" s="80"/>
      <c r="G5" s="80"/>
      <c r="H5" s="80"/>
      <c r="L5" s="80"/>
      <c r="M5" s="248"/>
      <c r="N5" s="249"/>
    </row>
    <row r="6" spans="1:14" s="85" customFormat="1" ht="30" customHeight="1" thickBot="1">
      <c r="A6" s="86" t="s">
        <v>839</v>
      </c>
      <c r="B6" s="87">
        <f>IF(('EntryData-ข้อมูล1'!C11&lt;&gt;""),'EntryData-ข้อมูล1'!C11,"")</f>
      </c>
      <c r="D6" s="110"/>
      <c r="E6" s="114"/>
      <c r="F6" s="80"/>
      <c r="G6" s="80"/>
      <c r="H6" s="80"/>
      <c r="L6" s="80"/>
      <c r="M6" s="248"/>
      <c r="N6" s="249"/>
    </row>
    <row r="7" spans="1:14" s="85" customFormat="1" ht="12" customHeight="1" thickBot="1">
      <c r="A7" s="86"/>
      <c r="B7" s="95"/>
      <c r="D7" s="110"/>
      <c r="E7" s="114"/>
      <c r="F7" s="80"/>
      <c r="G7" s="80"/>
      <c r="H7" s="80"/>
      <c r="L7" s="80"/>
      <c r="M7" s="248"/>
      <c r="N7" s="249"/>
    </row>
    <row r="8" spans="1:14" s="85" customFormat="1" ht="21.75" thickBot="1">
      <c r="A8" s="86"/>
      <c r="B8" s="98" t="s">
        <v>769</v>
      </c>
      <c r="C8" s="97"/>
      <c r="D8" s="97">
        <f>IF((C8&lt;&gt;""),C8-1,"")</f>
      </c>
      <c r="E8" s="97">
        <f>IF((D8&lt;&gt;""),D8-1,"")</f>
      </c>
      <c r="F8" s="96" t="s">
        <v>771</v>
      </c>
      <c r="G8" s="80"/>
      <c r="H8" s="80"/>
      <c r="L8" s="80"/>
      <c r="M8" s="248"/>
      <c r="N8" s="249"/>
    </row>
    <row r="9" ht="10.5" customHeight="1" thickBot="1"/>
    <row r="10" spans="1:23" ht="23.25" customHeight="1" thickBot="1">
      <c r="A10" s="743" t="s">
        <v>798</v>
      </c>
      <c r="B10" s="749" t="s">
        <v>799</v>
      </c>
      <c r="C10" s="746" t="s">
        <v>800</v>
      </c>
      <c r="D10" s="752" t="s">
        <v>768</v>
      </c>
      <c r="E10" s="753"/>
      <c r="F10" s="754"/>
      <c r="G10" s="736" t="s">
        <v>801</v>
      </c>
      <c r="H10" s="736" t="s">
        <v>815</v>
      </c>
      <c r="I10" s="731" t="s">
        <v>770</v>
      </c>
      <c r="J10" s="732"/>
      <c r="K10" s="733"/>
      <c r="L10" s="736" t="s">
        <v>816</v>
      </c>
      <c r="M10" s="741" t="s">
        <v>817</v>
      </c>
      <c r="N10" s="738" t="s">
        <v>697</v>
      </c>
      <c r="O10" s="40"/>
      <c r="P10" s="40"/>
      <c r="Q10" s="728" t="s">
        <v>694</v>
      </c>
      <c r="R10" s="728" t="s">
        <v>695</v>
      </c>
      <c r="S10" s="728" t="s">
        <v>698</v>
      </c>
      <c r="T10" s="728" t="s">
        <v>699</v>
      </c>
      <c r="U10" s="728" t="s">
        <v>700</v>
      </c>
      <c r="V10" s="728" t="s">
        <v>701</v>
      </c>
      <c r="W10" s="728" t="s">
        <v>702</v>
      </c>
    </row>
    <row r="11" spans="1:23" ht="21">
      <c r="A11" s="744"/>
      <c r="B11" s="750"/>
      <c r="C11" s="747"/>
      <c r="D11" s="497" t="str">
        <f>IF((E8&lt;&gt;""),"ปี "&amp;E8,"ปี.......")</f>
        <v>ปี.......</v>
      </c>
      <c r="E11" s="498" t="str">
        <f>IF((D8&lt;&gt;""),"ปี "&amp;D8,"ปี.......")</f>
        <v>ปี.......</v>
      </c>
      <c r="F11" s="534" t="s">
        <v>373</v>
      </c>
      <c r="G11" s="737"/>
      <c r="H11" s="737"/>
      <c r="I11" s="734" t="s">
        <v>703</v>
      </c>
      <c r="J11" s="735"/>
      <c r="K11" s="129" t="s">
        <v>704</v>
      </c>
      <c r="L11" s="737"/>
      <c r="M11" s="742"/>
      <c r="N11" s="739"/>
      <c r="O11" s="40"/>
      <c r="P11" s="40"/>
      <c r="Q11" s="729"/>
      <c r="R11" s="729"/>
      <c r="S11" s="729"/>
      <c r="T11" s="729"/>
      <c r="U11" s="729"/>
      <c r="V11" s="729"/>
      <c r="W11" s="729"/>
    </row>
    <row r="12" spans="1:23" ht="63.75" customHeight="1" thickBot="1">
      <c r="A12" s="745"/>
      <c r="B12" s="751"/>
      <c r="C12" s="748"/>
      <c r="D12" s="535"/>
      <c r="E12" s="536"/>
      <c r="F12" s="537">
        <f>IF((C8&lt;&gt;""),"("&amp;C8&amp;")","")</f>
      </c>
      <c r="G12" s="737"/>
      <c r="H12" s="737"/>
      <c r="I12" s="23" t="s">
        <v>772</v>
      </c>
      <c r="J12" s="122" t="s">
        <v>773</v>
      </c>
      <c r="K12" s="128" t="s">
        <v>705</v>
      </c>
      <c r="L12" s="737"/>
      <c r="M12" s="742"/>
      <c r="N12" s="740"/>
      <c r="O12" s="40"/>
      <c r="P12" s="40"/>
      <c r="Q12" s="730"/>
      <c r="R12" s="730"/>
      <c r="S12" s="730"/>
      <c r="T12" s="730"/>
      <c r="U12" s="730"/>
      <c r="V12" s="730"/>
      <c r="W12" s="730"/>
    </row>
    <row r="13" spans="1:23" s="145" customFormat="1" ht="42">
      <c r="A13" s="133" t="s">
        <v>884</v>
      </c>
      <c r="B13" s="134" t="s">
        <v>774</v>
      </c>
      <c r="C13" s="135">
        <f>SUM(C14:C18)</f>
        <v>10</v>
      </c>
      <c r="D13" s="538"/>
      <c r="E13" s="539"/>
      <c r="F13" s="525"/>
      <c r="G13" s="138"/>
      <c r="H13" s="138"/>
      <c r="I13" s="136"/>
      <c r="J13" s="139"/>
      <c r="K13" s="140"/>
      <c r="L13" s="138"/>
      <c r="M13" s="251" t="str">
        <f>IF(OR((M14&lt;&gt;"Auto-calculate"),(M17&lt;&gt;"Auto-calculate")),SUM(M14,M17),"Auto-calculate")</f>
        <v>Auto-calculate</v>
      </c>
      <c r="N13" s="251" t="str">
        <f>IF((M13="Auto-calculate"),"Auto-calculate",IF((M13&gt;=W13),"ดีมาก",IF((M13&gt;=V13),"ดี",IF((M13&gt;=U13),"พอใช้",IF((M13&gt;=T13),"ต้องปรับปรุง",IF((M13&gt;=S13),"ต้องปรับปรุงเร่งด่วน","Auto-calculate"))))))</f>
        <v>Auto-calculate</v>
      </c>
      <c r="O13" s="141"/>
      <c r="P13" s="141"/>
      <c r="Q13" s="142">
        <f>SUM(Q14:Q17)</f>
        <v>6</v>
      </c>
      <c r="R13" s="143">
        <f>SUM(R14:R17)</f>
        <v>4</v>
      </c>
      <c r="S13" s="144">
        <v>1E-05</v>
      </c>
      <c r="T13" s="143">
        <f>SUM(T14:T17)</f>
        <v>5</v>
      </c>
      <c r="U13" s="143">
        <f>SUM(U14:U17)</f>
        <v>6</v>
      </c>
      <c r="V13" s="143">
        <f>SUM(V14:V17)</f>
        <v>7.5</v>
      </c>
      <c r="W13" s="143">
        <f>SUM(W14:W17)</f>
        <v>9</v>
      </c>
    </row>
    <row r="14" spans="1:23" s="19" customFormat="1" ht="45.75" customHeight="1">
      <c r="A14" s="12">
        <v>1.1</v>
      </c>
      <c r="B14" s="13" t="s">
        <v>775</v>
      </c>
      <c r="C14" s="14">
        <f>IF((COUNT(Q14:R14)&lt;2),"Auto-calculate",SUM(Q14:R14))</f>
        <v>5</v>
      </c>
      <c r="D14" s="540" t="str">
        <f>IF(ISERROR(AVERAGE(D15:D16)),"Auto-calculate",ROUND(AVERAGE(D15:D16),2))</f>
        <v>Auto-calculate</v>
      </c>
      <c r="E14" s="541" t="str">
        <f>IF(ISERROR(AVERAGE(E15:E16)),"Auto-calculate",ROUND(AVERAGE(E15:E16),2))</f>
        <v>Auto-calculate</v>
      </c>
      <c r="F14" s="526" t="str">
        <f>IF(ISERROR(AVERAGE(F15:F16)),"Auto-calculate",ROUND(AVERAGE(F15:F16),2))</f>
        <v>Auto-calculate</v>
      </c>
      <c r="G14" s="116" t="str">
        <f>IF(ISERROR(AVERAGE(G15,G16)),"Auto-calculate",ROUND(AVERAGE(G15,G16),2))</f>
        <v>Auto-calculate</v>
      </c>
      <c r="H14" s="116" t="str">
        <f>IF((G14="Auto-calculate"),"Auto-calculate",ROUND(G14*Q14/100,2))</f>
        <v>Auto-calculate</v>
      </c>
      <c r="I14" s="15" t="str">
        <f>IF((F14="Auto-calculate"),"Auto-calculate",IF((F14&gt;=90),"Yes","No"))</f>
        <v>Auto-calculate</v>
      </c>
      <c r="J14" s="123" t="str">
        <f>IF((COUNT(F14,E14)=0),"Auto-calculate",IF((COUNT(F14,E14)=1),"N/A",IF(AND((COUNT(F14,E14)=2),(F14&gt;E14)),"Yes","No")))</f>
        <v>Auto-calculate</v>
      </c>
      <c r="K14" s="130"/>
      <c r="L14" s="119" t="str">
        <f>IF(COUNTIF(I14:J14,"Auto-calculate")=2,"Auto-calculate",IF(COUNTIF(I14:J14,"Yes")&gt;=1,R14,0))</f>
        <v>Auto-calculate</v>
      </c>
      <c r="M14" s="252" t="str">
        <f>IF(SUM(COUNTIF(H14,"Auto-calculate"),COUNTIF(L14,"Auto-calculate"))&lt;COUNTA(H14,L14),SUM(H14,L14),"Auto-calculate")</f>
        <v>Auto-calculate</v>
      </c>
      <c r="N14" s="253" t="str">
        <f>IF((M14="Auto-calculate"),"Auto-calculate",IF((M14&gt;=W14),"ดีมาก",IF((M14&gt;=V14),"ดี",IF((M14&gt;=U14),"พอใช้",IF((M14&gt;=T14),"ต้องปรับปรุง",IF((M14&gt;=S14),"ต้องปรับปรุงเร่งด่วน","Auto-calculate"))))))</f>
        <v>Auto-calculate</v>
      </c>
      <c r="O14" s="41"/>
      <c r="P14" s="41"/>
      <c r="Q14" s="21">
        <v>4</v>
      </c>
      <c r="R14" s="24">
        <v>1</v>
      </c>
      <c r="S14" s="108">
        <v>1E-05</v>
      </c>
      <c r="T14" s="24">
        <v>2.5</v>
      </c>
      <c r="U14" s="24">
        <v>3</v>
      </c>
      <c r="V14" s="24">
        <v>3.75</v>
      </c>
      <c r="W14" s="24">
        <v>4.5</v>
      </c>
    </row>
    <row r="15" spans="1:23" s="32" customFormat="1" ht="40.5" customHeight="1">
      <c r="A15" s="30"/>
      <c r="B15" s="26" t="s">
        <v>776</v>
      </c>
      <c r="C15" s="31"/>
      <c r="D15" s="528"/>
      <c r="E15" s="529"/>
      <c r="F15" s="530"/>
      <c r="G15" s="116" t="str">
        <f>IF(ISERROR(AVERAGE(D15,E15,F15)),"Auto-calculate",ROUND(AVERAGE(D15,E15,F15),2))</f>
        <v>Auto-calculate</v>
      </c>
      <c r="H15" s="116"/>
      <c r="I15" s="105"/>
      <c r="J15" s="124"/>
      <c r="K15" s="126"/>
      <c r="L15" s="119"/>
      <c r="M15" s="254"/>
      <c r="N15" s="255"/>
      <c r="O15" s="42"/>
      <c r="P15" s="42"/>
      <c r="Q15" s="21"/>
      <c r="R15" s="24"/>
      <c r="S15" s="24"/>
      <c r="T15" s="24"/>
      <c r="U15" s="24"/>
      <c r="V15" s="24"/>
      <c r="W15" s="24"/>
    </row>
    <row r="16" spans="1:23" s="32" customFormat="1" ht="51" customHeight="1" thickBot="1">
      <c r="A16" s="30"/>
      <c r="B16" s="102" t="s">
        <v>777</v>
      </c>
      <c r="C16" s="103"/>
      <c r="D16" s="531"/>
      <c r="E16" s="532"/>
      <c r="F16" s="533"/>
      <c r="G16" s="117" t="str">
        <f>IF(ISERROR(AVERAGE(D16,E16,F16)),"Auto-calculate",ROUND(AVERAGE(D16,E16,F16),2))</f>
        <v>Auto-calculate</v>
      </c>
      <c r="H16" s="117"/>
      <c r="I16" s="106"/>
      <c r="J16" s="125"/>
      <c r="K16" s="127"/>
      <c r="L16" s="117"/>
      <c r="M16" s="256"/>
      <c r="N16" s="257"/>
      <c r="O16" s="42"/>
      <c r="P16" s="42"/>
      <c r="Q16" s="101"/>
      <c r="R16" s="107"/>
      <c r="S16" s="107"/>
      <c r="T16" s="107"/>
      <c r="U16" s="107"/>
      <c r="V16" s="107"/>
      <c r="W16" s="107"/>
    </row>
    <row r="17" spans="1:23" s="19" customFormat="1" ht="45.75" customHeight="1">
      <c r="A17" s="16">
        <v>1.2</v>
      </c>
      <c r="B17" s="17" t="s">
        <v>778</v>
      </c>
      <c r="C17" s="18">
        <f>IF((COUNT(Q17:R17)&lt;2),"Auto-calculate",SUM(Q17:R17))</f>
        <v>5</v>
      </c>
      <c r="D17" s="542" t="str">
        <f>IF(ISERROR(AVERAGE(D18:D18)),"Auto-calculate",ROUND(AVERAGE(D18:D18),2))</f>
        <v>Auto-calculate</v>
      </c>
      <c r="E17" s="543" t="str">
        <f>IF(ISERROR(AVERAGE(E18:E18)),"Auto-calculate",ROUND(AVERAGE(E18:E18),2))</f>
        <v>Auto-calculate</v>
      </c>
      <c r="F17" s="527" t="str">
        <f>IF(ISERROR(AVERAGE(F18:F18)),"Auto-calculate",ROUND(AVERAGE(F18:F18),2))</f>
        <v>Auto-calculate</v>
      </c>
      <c r="G17" s="118" t="str">
        <f>IF(ISERROR(AVERAGE(D17,E17,F17)),"Auto-calculate",ROUND(AVERAGE(D17,E17,F17),2))</f>
        <v>Auto-calculate</v>
      </c>
      <c r="H17" s="118" t="str">
        <f>IF((G17="Auto-calculate"),"Auto-calculate",ROUND(G17*Q17/100,2))</f>
        <v>Auto-calculate</v>
      </c>
      <c r="I17" s="131"/>
      <c r="J17" s="132"/>
      <c r="K17" s="546"/>
      <c r="L17" s="120" t="str">
        <f>IF(COUNT(K17)=0,"Auto-calculate",IF((K17=3),3,IF((K17=2),2,IF((K17=1),1,IF((K17=0)=0,"Auto-calculate")))))</f>
        <v>Auto-calculate</v>
      </c>
      <c r="M17" s="258" t="str">
        <f>IF(SUM(COUNTIF(H17,"Auto-calculate"),COUNTIF(L17,"Auto-calculate"))&lt;COUNTA(H17,L17),SUM(H17,L17),"Auto-calculate")</f>
        <v>Auto-calculate</v>
      </c>
      <c r="N17" s="259" t="str">
        <f>IF((M17="Auto-calculate"),"Auto-calculate",IF((M17&gt;=W17),"ดีมาก",IF((M17&gt;=V17),"ดี",IF((M17&gt;=U17),"พอใช้",IF((M17&gt;=T17),"ต้องปรับปรุง",IF((M17&gt;=S17),"ต้องปรับปรุงเร่งด่วน","Auto-calculate"))))))</f>
        <v>Auto-calculate</v>
      </c>
      <c r="O17" s="41"/>
      <c r="P17" s="41"/>
      <c r="Q17" s="22">
        <v>2</v>
      </c>
      <c r="R17" s="25">
        <v>3</v>
      </c>
      <c r="S17" s="121">
        <v>1E-05</v>
      </c>
      <c r="T17" s="25">
        <v>2.5</v>
      </c>
      <c r="U17" s="25">
        <v>3</v>
      </c>
      <c r="V17" s="25">
        <v>3.75</v>
      </c>
      <c r="W17" s="25">
        <v>4.5</v>
      </c>
    </row>
    <row r="18" spans="1:23" s="32" customFormat="1" ht="40.5" customHeight="1" thickBot="1">
      <c r="A18" s="30"/>
      <c r="B18" s="99" t="s">
        <v>706</v>
      </c>
      <c r="C18" s="31"/>
      <c r="D18" s="528"/>
      <c r="E18" s="529"/>
      <c r="F18" s="530"/>
      <c r="G18" s="116" t="str">
        <f>IF(ISERROR(AVERAGE(D18,E18,F18)),"Auto-calculate",ROUND(AVERAGE(D18,E18,F18),2))</f>
        <v>Auto-calculate</v>
      </c>
      <c r="H18" s="116"/>
      <c r="I18" s="105"/>
      <c r="J18" s="124"/>
      <c r="K18" s="126"/>
      <c r="L18" s="119"/>
      <c r="M18" s="254"/>
      <c r="N18" s="255"/>
      <c r="O18" s="42"/>
      <c r="P18" s="42"/>
      <c r="Q18" s="21"/>
      <c r="R18" s="24"/>
      <c r="S18" s="24"/>
      <c r="T18" s="24"/>
      <c r="U18" s="24"/>
      <c r="V18" s="24"/>
      <c r="W18" s="24"/>
    </row>
    <row r="19" spans="1:23" s="145" customFormat="1" ht="42">
      <c r="A19" s="133" t="s">
        <v>885</v>
      </c>
      <c r="B19" s="134" t="s">
        <v>779</v>
      </c>
      <c r="C19" s="135">
        <f>SUM(C20:C25)</f>
        <v>10</v>
      </c>
      <c r="D19" s="538"/>
      <c r="E19" s="539"/>
      <c r="F19" s="525"/>
      <c r="G19" s="138"/>
      <c r="H19" s="138"/>
      <c r="I19" s="136"/>
      <c r="J19" s="139"/>
      <c r="K19" s="140"/>
      <c r="L19" s="138"/>
      <c r="M19" s="251" t="str">
        <f>IF(OR((M20&lt;&gt;"Auto-calculate"),(M22&lt;&gt;"Auto-calculate"),(M25&lt;&gt;"Auto-calculate")),SUM(M20,M22:M25),"Auto-calculate")</f>
        <v>Auto-calculate</v>
      </c>
      <c r="N19" s="251" t="str">
        <f>IF((M19="Auto-calculate"),"Auto-calculate",IF((M19&gt;=W19),"ดีมาก",IF((M19&gt;=V19),"ดี",IF((M19&gt;=U19),"พอใช้",IF((M19&gt;=T19),"ต้องปรับปรุง",IF((M19&gt;=S19),"ต้องปรับปรุงเร่งด่วน","Auto-calculate"))))))</f>
        <v>Auto-calculate</v>
      </c>
      <c r="O19" s="141"/>
      <c r="P19" s="141"/>
      <c r="Q19" s="142">
        <f>SUM(Q20:Q25)</f>
        <v>8</v>
      </c>
      <c r="R19" s="143">
        <f>SUM(R20:R25)</f>
        <v>2</v>
      </c>
      <c r="S19" s="144">
        <v>1E-05</v>
      </c>
      <c r="T19" s="143">
        <f>SUM(T20:T25)</f>
        <v>5</v>
      </c>
      <c r="U19" s="143">
        <f>SUM(U20:U25)</f>
        <v>6</v>
      </c>
      <c r="V19" s="143">
        <f>SUM(V20:V25)</f>
        <v>7.5</v>
      </c>
      <c r="W19" s="143">
        <f>SUM(W20:W25)</f>
        <v>9</v>
      </c>
    </row>
    <row r="20" spans="1:23" s="19" customFormat="1" ht="45.75" customHeight="1">
      <c r="A20" s="12">
        <v>2.1</v>
      </c>
      <c r="B20" s="13" t="s">
        <v>895</v>
      </c>
      <c r="C20" s="14">
        <f>IF((COUNT(Q20:R20)&lt;2),"Auto-calculate",SUM(Q20:R20))</f>
        <v>4</v>
      </c>
      <c r="D20" s="540" t="str">
        <f>IF(ISERROR(AVERAGE(D21:D21)),"Auto-calculate",ROUND(AVERAGE(D21:D21),2))</f>
        <v>Auto-calculate</v>
      </c>
      <c r="E20" s="541" t="str">
        <f>IF(ISERROR(AVERAGE(E21:E21)),"Auto-calculate",ROUND(AVERAGE(E21:E21),2))</f>
        <v>Auto-calculate</v>
      </c>
      <c r="F20" s="526" t="str">
        <f>IF(ISERROR(AVERAGE(F21:F21)),"Auto-calculate",ROUND(AVERAGE(F21:F21),2))</f>
        <v>Auto-calculate</v>
      </c>
      <c r="G20" s="116" t="str">
        <f aca="true" t="shared" si="0" ref="G20:G27">IF(ISERROR(AVERAGE(D20,E20,F20)),"Auto-calculate",ROUND(AVERAGE(D20,E20,F20),2))</f>
        <v>Auto-calculate</v>
      </c>
      <c r="H20" s="116" t="str">
        <f>IF((G20="Auto-calculate"),"Auto-calculate",ROUND(G20*Q20/100,2))</f>
        <v>Auto-calculate</v>
      </c>
      <c r="I20" s="148"/>
      <c r="J20" s="149"/>
      <c r="K20" s="130"/>
      <c r="L20" s="156"/>
      <c r="M20" s="252" t="str">
        <f>IF(SUM(COUNTIF(H20,"Auto-calculate"),COUNTIF(L20,"Auto-calculate"))&lt;COUNTA(H20,L20),SUM(H20,L20),"Auto-calculate")</f>
        <v>Auto-calculate</v>
      </c>
      <c r="N20" s="253" t="str">
        <f>IF((M20="Auto-calculate"),"Auto-calculate",IF((M20&gt;=W20),"ดีมาก",IF((M20&gt;=V20),"ดี",IF((M20&gt;=U20),"พอใช้",IF((M20&gt;=T20),"ต้องปรับปรุง",IF((M20&gt;=S20),"ต้องปรับปรุงเร่งด่วน","Auto-calculate"))))))</f>
        <v>Auto-calculate</v>
      </c>
      <c r="O20" s="41"/>
      <c r="P20" s="41"/>
      <c r="Q20" s="21">
        <v>4</v>
      </c>
      <c r="R20" s="24">
        <v>0</v>
      </c>
      <c r="S20" s="108">
        <v>1E-05</v>
      </c>
      <c r="T20" s="24">
        <v>2</v>
      </c>
      <c r="U20" s="24">
        <v>2.4</v>
      </c>
      <c r="V20" s="24">
        <v>3</v>
      </c>
      <c r="W20" s="24">
        <v>3.6</v>
      </c>
    </row>
    <row r="21" spans="1:23" s="32" customFormat="1" ht="45" customHeight="1" thickBot="1">
      <c r="A21" s="30"/>
      <c r="B21" s="102" t="s">
        <v>896</v>
      </c>
      <c r="C21" s="103"/>
      <c r="D21" s="528"/>
      <c r="E21" s="529"/>
      <c r="F21" s="530"/>
      <c r="G21" s="117" t="str">
        <f t="shared" si="0"/>
        <v>Auto-calculate</v>
      </c>
      <c r="H21" s="117"/>
      <c r="I21" s="106"/>
      <c r="J21" s="150"/>
      <c r="K21" s="146"/>
      <c r="L21" s="147"/>
      <c r="M21" s="256"/>
      <c r="N21" s="257"/>
      <c r="O21" s="42"/>
      <c r="P21" s="42"/>
      <c r="Q21" s="21"/>
      <c r="R21" s="24"/>
      <c r="S21" s="24"/>
      <c r="T21" s="24"/>
      <c r="U21" s="24"/>
      <c r="V21" s="24"/>
      <c r="W21" s="24"/>
    </row>
    <row r="22" spans="1:23" s="19" customFormat="1" ht="45.75" customHeight="1">
      <c r="A22" s="16">
        <v>2.2</v>
      </c>
      <c r="B22" s="17" t="s">
        <v>707</v>
      </c>
      <c r="C22" s="18">
        <f>IF((COUNT(Q22:R22)&lt;2),"Auto-calculate",SUM(Q22:R22))</f>
        <v>4</v>
      </c>
      <c r="D22" s="542" t="str">
        <f>IF(ISERROR(AVERAGE(D23:D24)),"Auto-calculate",ROUND(AVERAGE(D23:D24),2))</f>
        <v>Auto-calculate</v>
      </c>
      <c r="E22" s="543" t="str">
        <f>IF(ISERROR(AVERAGE(E23:E24)),"Auto-calculate",ROUND(AVERAGE(E23:E24),2))</f>
        <v>Auto-calculate</v>
      </c>
      <c r="F22" s="527" t="str">
        <f>IF(ISERROR(AVERAGE(F23:F24)),"Auto-calculate",ROUND(AVERAGE(F23:F24),2))</f>
        <v>Auto-calculate</v>
      </c>
      <c r="G22" s="118" t="str">
        <f>IF(ISERROR(AVERAGE(G23,G24)),"Auto-calculate",ROUND(AVERAGE(G23,G24),2))</f>
        <v>Auto-calculate</v>
      </c>
      <c r="H22" s="118" t="str">
        <f>IF((G22="Auto-calculate"),"Auto-calculate",ROUND(G22*Q22/100,2))</f>
        <v>Auto-calculate</v>
      </c>
      <c r="I22" s="131"/>
      <c r="J22" s="132"/>
      <c r="K22" s="547"/>
      <c r="L22" s="120" t="str">
        <f>IF(COUNT(K22)=0,"Auto-calculate",IF((K22&gt;=7),2,IF((K22&gt;=4),1,IF((K22&gt;=0),0,"Auto-calculate"))))</f>
        <v>Auto-calculate</v>
      </c>
      <c r="M22" s="258" t="str">
        <f>IF(SUM(COUNTIF(H22,"Auto-calculate"),COUNTIF(L22,"Auto-calculate"))&lt;COUNTA(H22,L22),SUM(H22,L22),"Auto-calculate")</f>
        <v>Auto-calculate</v>
      </c>
      <c r="N22" s="259" t="str">
        <f>IF((M22="Auto-calculate"),"Auto-calculate",IF((M22&gt;=W22),"ดีมาก",IF((M22&gt;=V22),"ดี",IF((M22&gt;=U22),"พอใช้",IF((M22&gt;=T22),"ต้องปรับปรุง",IF((M22&gt;=S22),"ต้องปรับปรุงเร่งด่วน","Auto-calculate"))))))</f>
        <v>Auto-calculate</v>
      </c>
      <c r="O22" s="41"/>
      <c r="P22" s="41"/>
      <c r="Q22" s="21">
        <v>2</v>
      </c>
      <c r="R22" s="24">
        <v>2</v>
      </c>
      <c r="S22" s="108">
        <v>1E-05</v>
      </c>
      <c r="T22" s="24">
        <v>2</v>
      </c>
      <c r="U22" s="24">
        <v>2.4</v>
      </c>
      <c r="V22" s="24">
        <v>3</v>
      </c>
      <c r="W22" s="24">
        <v>3.6</v>
      </c>
    </row>
    <row r="23" spans="1:23" s="32" customFormat="1" ht="40.5" customHeight="1">
      <c r="A23" s="30"/>
      <c r="B23" s="26" t="s">
        <v>897</v>
      </c>
      <c r="C23" s="31"/>
      <c r="D23" s="528"/>
      <c r="E23" s="529"/>
      <c r="F23" s="530"/>
      <c r="G23" s="116" t="str">
        <f>IF(ISERROR(AVERAGE(D23,E23,F23)),"Auto-calculate",ROUND(AVERAGE(D23,E23,F23),2))</f>
        <v>Auto-calculate</v>
      </c>
      <c r="H23" s="116"/>
      <c r="I23" s="105"/>
      <c r="J23" s="124"/>
      <c r="K23" s="126"/>
      <c r="L23" s="119"/>
      <c r="M23" s="254"/>
      <c r="N23" s="255"/>
      <c r="O23" s="42"/>
      <c r="P23" s="42"/>
      <c r="Q23" s="21"/>
      <c r="R23" s="24"/>
      <c r="S23" s="24"/>
      <c r="T23" s="24"/>
      <c r="U23" s="24"/>
      <c r="V23" s="24"/>
      <c r="W23" s="24"/>
    </row>
    <row r="24" spans="1:23" s="32" customFormat="1" ht="41.25" thickBot="1">
      <c r="A24" s="33"/>
      <c r="B24" s="35" t="s">
        <v>780</v>
      </c>
      <c r="C24" s="34"/>
      <c r="D24" s="531"/>
      <c r="E24" s="532"/>
      <c r="F24" s="533"/>
      <c r="G24" s="152" t="str">
        <f>IF(ISERROR(AVERAGE(D24,E24,F24)),"Auto-calculate",ROUND(AVERAGE(D24,E24,F24),2))</f>
        <v>Auto-calculate</v>
      </c>
      <c r="H24" s="152"/>
      <c r="I24" s="153"/>
      <c r="J24" s="154"/>
      <c r="K24" s="155"/>
      <c r="L24" s="152"/>
      <c r="M24" s="260"/>
      <c r="N24" s="261"/>
      <c r="O24" s="42"/>
      <c r="P24" s="42"/>
      <c r="Q24" s="101"/>
      <c r="R24" s="107"/>
      <c r="S24" s="107"/>
      <c r="T24" s="107"/>
      <c r="U24" s="107"/>
      <c r="V24" s="107"/>
      <c r="W24" s="107"/>
    </row>
    <row r="25" spans="1:23" s="19" customFormat="1" ht="45.75" customHeight="1">
      <c r="A25" s="16">
        <v>2.3</v>
      </c>
      <c r="B25" s="17" t="s">
        <v>781</v>
      </c>
      <c r="C25" s="18">
        <f>IF((COUNT(Q25:R25)&lt;2),"Auto-calculate",SUM(Q25:R25))</f>
        <v>2</v>
      </c>
      <c r="D25" s="542" t="str">
        <f>IF(ISERROR(AVERAGE(D26:D27)),"Auto-calculate",ROUND(AVERAGE(D26:D27),2))</f>
        <v>Auto-calculate</v>
      </c>
      <c r="E25" s="543" t="str">
        <f>IF(ISERROR(AVERAGE(E26:E27)),"Auto-calculate",ROUND(AVERAGE(E26:E27),2))</f>
        <v>Auto-calculate</v>
      </c>
      <c r="F25" s="527" t="str">
        <f>IF(ISERROR(AVERAGE(F26:F27)),"Auto-calculate",ROUND(AVERAGE(F26:F27),2))</f>
        <v>Auto-calculate</v>
      </c>
      <c r="G25" s="118" t="str">
        <f>IF(ISERROR(AVERAGE(G26,G27)),"Auto-calculate",ROUND(AVERAGE(G26,G27),2))</f>
        <v>Auto-calculate</v>
      </c>
      <c r="H25" s="118" t="str">
        <f>IF((G25="Auto-calculate"),"Auto-calculate",ROUND(G25*Q25/100,2))</f>
        <v>Auto-calculate</v>
      </c>
      <c r="I25" s="131"/>
      <c r="J25" s="132"/>
      <c r="K25" s="151"/>
      <c r="L25" s="157"/>
      <c r="M25" s="258" t="str">
        <f>IF(SUM(COUNTIF(H25,"Auto-calculate"),COUNTIF(L25,"Auto-calculate"))&lt;COUNTA(H25,L25),SUM(H25,L25),"Auto-calculate")</f>
        <v>Auto-calculate</v>
      </c>
      <c r="N25" s="259" t="str">
        <f>IF((M25="Auto-calculate"),"Auto-calculate",IF((M25&gt;=W25),"ดีมาก",IF((M25&gt;=V25),"ดี",IF((M25&gt;=U25),"พอใช้",IF((M25&gt;=T25),"ต้องปรับปรุง",IF((M25&gt;=S25),"ต้องปรับปรุงเร่งด่วน","Auto-calculate"))))))</f>
        <v>Auto-calculate</v>
      </c>
      <c r="O25" s="41"/>
      <c r="P25" s="41"/>
      <c r="Q25" s="21">
        <v>2</v>
      </c>
      <c r="R25" s="24">
        <v>0</v>
      </c>
      <c r="S25" s="108">
        <v>1E-05</v>
      </c>
      <c r="T25" s="24">
        <v>1</v>
      </c>
      <c r="U25" s="24">
        <v>1.2</v>
      </c>
      <c r="V25" s="24">
        <v>1.5</v>
      </c>
      <c r="W25" s="24">
        <v>1.8</v>
      </c>
    </row>
    <row r="26" spans="1:23" s="32" customFormat="1" ht="63.75" customHeight="1">
      <c r="A26" s="30"/>
      <c r="B26" s="26" t="s">
        <v>782</v>
      </c>
      <c r="C26" s="31"/>
      <c r="D26" s="528"/>
      <c r="E26" s="529"/>
      <c r="F26" s="530"/>
      <c r="G26" s="116" t="str">
        <f t="shared" si="0"/>
        <v>Auto-calculate</v>
      </c>
      <c r="H26" s="116"/>
      <c r="I26" s="105"/>
      <c r="J26" s="124"/>
      <c r="K26" s="126"/>
      <c r="L26" s="119"/>
      <c r="M26" s="254"/>
      <c r="N26" s="255"/>
      <c r="O26" s="42"/>
      <c r="P26" s="42"/>
      <c r="Q26" s="21"/>
      <c r="R26" s="24"/>
      <c r="S26" s="24"/>
      <c r="T26" s="24"/>
      <c r="U26" s="24"/>
      <c r="V26" s="24"/>
      <c r="W26" s="24"/>
    </row>
    <row r="27" spans="1:23" s="32" customFormat="1" ht="69.75" customHeight="1" thickBot="1">
      <c r="A27" s="33"/>
      <c r="B27" s="35" t="s">
        <v>783</v>
      </c>
      <c r="C27" s="34"/>
      <c r="D27" s="528"/>
      <c r="E27" s="529"/>
      <c r="F27" s="530"/>
      <c r="G27" s="152" t="str">
        <f t="shared" si="0"/>
        <v>Auto-calculate</v>
      </c>
      <c r="H27" s="152"/>
      <c r="I27" s="153"/>
      <c r="J27" s="154"/>
      <c r="K27" s="155"/>
      <c r="L27" s="152"/>
      <c r="M27" s="260"/>
      <c r="N27" s="261"/>
      <c r="O27" s="42"/>
      <c r="P27" s="42"/>
      <c r="Q27" s="101"/>
      <c r="R27" s="107"/>
      <c r="S27" s="107"/>
      <c r="T27" s="107"/>
      <c r="U27" s="107"/>
      <c r="V27" s="107"/>
      <c r="W27" s="107"/>
    </row>
    <row r="28" spans="1:23" s="145" customFormat="1" ht="49.5" customHeight="1">
      <c r="A28" s="133" t="s">
        <v>886</v>
      </c>
      <c r="B28" s="134" t="s">
        <v>784</v>
      </c>
      <c r="C28" s="135">
        <f>SUM(C29:C34)</f>
        <v>10</v>
      </c>
      <c r="D28" s="538"/>
      <c r="E28" s="539"/>
      <c r="F28" s="525"/>
      <c r="G28" s="138"/>
      <c r="H28" s="138"/>
      <c r="I28" s="136"/>
      <c r="J28" s="139"/>
      <c r="K28" s="140"/>
      <c r="L28" s="138"/>
      <c r="M28" s="251" t="str">
        <f>IF(OR((M29&lt;&gt;"Auto-calculate"),(M32&lt;&gt;"Auto-calculate")),SUM(M29,M32),"Auto-calculate")</f>
        <v>Auto-calculate</v>
      </c>
      <c r="N28" s="251" t="str">
        <f>IF((M28="Auto-calculate"),"Auto-calculate",IF((M28&gt;=W28),"ดีมาก",IF((M28&gt;=V28),"ดี",IF((M28&gt;=U28),"พอใช้",IF((M28&gt;=T28),"ต้องปรับปรุง",IF((M28&gt;=S28),"ต้องปรับปรุงเร่งด่วน","Auto-calculate"))))))</f>
        <v>Auto-calculate</v>
      </c>
      <c r="O28" s="141"/>
      <c r="P28" s="141"/>
      <c r="Q28" s="142">
        <f>SUM(Q29:Q32)</f>
        <v>10</v>
      </c>
      <c r="R28" s="143">
        <f>SUM(R29:R32)</f>
        <v>0</v>
      </c>
      <c r="S28" s="144">
        <v>1E-05</v>
      </c>
      <c r="T28" s="143">
        <f>SUM(T29:T32)</f>
        <v>5</v>
      </c>
      <c r="U28" s="143">
        <f>SUM(U29:U32)</f>
        <v>6</v>
      </c>
      <c r="V28" s="143">
        <f>SUM(V29:V32)</f>
        <v>7.5</v>
      </c>
      <c r="W28" s="143">
        <f>SUM(W29:W32)</f>
        <v>9</v>
      </c>
    </row>
    <row r="29" spans="1:23" s="19" customFormat="1" ht="45.75" customHeight="1">
      <c r="A29" s="12">
        <v>3.1</v>
      </c>
      <c r="B29" s="13" t="s">
        <v>785</v>
      </c>
      <c r="C29" s="14">
        <f>IF((COUNT(Q29:R29)&lt;2),"Auto-calculate",SUM(Q29:R29))</f>
        <v>5</v>
      </c>
      <c r="D29" s="540" t="str">
        <f>IF(ISERROR(AVERAGE(D30:D31)),"Auto-calculate",ROUND(AVERAGE(D30:D31),2))</f>
        <v>Auto-calculate</v>
      </c>
      <c r="E29" s="541" t="str">
        <f>IF(ISERROR(AVERAGE(E30:E31)),"Auto-calculate",ROUND(AVERAGE(E30:E31),2))</f>
        <v>Auto-calculate</v>
      </c>
      <c r="F29" s="526" t="str">
        <f>IF(ISERROR(AVERAGE(F30:F31)),"Auto-calculate",ROUND(AVERAGE(F30:F31),2))</f>
        <v>Auto-calculate</v>
      </c>
      <c r="G29" s="116" t="str">
        <f>IF(ISERROR(AVERAGE(G30,G31)),"Auto-calculate",ROUND(AVERAGE(G30,G31),2))</f>
        <v>Auto-calculate</v>
      </c>
      <c r="H29" s="116" t="str">
        <f>IF((G29="Auto-calculate"),"Auto-calculate",ROUND(G29*Q29/100,2))</f>
        <v>Auto-calculate</v>
      </c>
      <c r="I29" s="148"/>
      <c r="J29" s="149"/>
      <c r="K29" s="130"/>
      <c r="L29" s="156"/>
      <c r="M29" s="252" t="str">
        <f>IF(SUM(COUNTIF(H29,"Auto-calculate"),COUNTIF(L29,"Auto-calculate"))&lt;COUNTA(H29,L29),SUM(H29,L29),"Auto-calculate")</f>
        <v>Auto-calculate</v>
      </c>
      <c r="N29" s="253" t="str">
        <f>IF((M29="Auto-calculate"),"Auto-calculate",IF((M29&gt;=W29),"ดีมาก",IF((M29&gt;=V29),"ดี",IF((M29&gt;=U29),"พอใช้",IF((M29&gt;=T29),"ต้องปรับปรุง",IF((M29&gt;=S29),"ต้องปรับปรุงเร่งด่วน","Auto-calculate"))))))</f>
        <v>Auto-calculate</v>
      </c>
      <c r="O29" s="41"/>
      <c r="P29" s="41"/>
      <c r="Q29" s="21">
        <v>5</v>
      </c>
      <c r="R29" s="24">
        <v>0</v>
      </c>
      <c r="S29" s="108">
        <v>1E-05</v>
      </c>
      <c r="T29" s="24">
        <v>2.5</v>
      </c>
      <c r="U29" s="24">
        <v>3</v>
      </c>
      <c r="V29" s="24">
        <v>3.75</v>
      </c>
      <c r="W29" s="24">
        <v>4.5</v>
      </c>
    </row>
    <row r="30" spans="1:23" s="32" customFormat="1" ht="40.5" customHeight="1">
      <c r="A30" s="30"/>
      <c r="B30" s="26" t="s">
        <v>898</v>
      </c>
      <c r="C30" s="31"/>
      <c r="D30" s="528"/>
      <c r="E30" s="529"/>
      <c r="F30" s="530"/>
      <c r="G30" s="116" t="str">
        <f>IF(ISERROR(AVERAGE(D30,E30,F30)),"Auto-calculate",ROUND(AVERAGE(D30,E30,F30),2))</f>
        <v>Auto-calculate</v>
      </c>
      <c r="H30" s="116"/>
      <c r="I30" s="105"/>
      <c r="J30" s="124"/>
      <c r="K30" s="126"/>
      <c r="L30" s="119"/>
      <c r="M30" s="254"/>
      <c r="N30" s="255"/>
      <c r="O30" s="42"/>
      <c r="P30" s="42"/>
      <c r="Q30" s="21"/>
      <c r="R30" s="24"/>
      <c r="S30" s="24"/>
      <c r="T30" s="24"/>
      <c r="U30" s="24"/>
      <c r="V30" s="24"/>
      <c r="W30" s="24"/>
    </row>
    <row r="31" spans="1:23" s="32" customFormat="1" ht="41.25" thickBot="1">
      <c r="A31" s="33"/>
      <c r="B31" s="102" t="s">
        <v>899</v>
      </c>
      <c r="C31" s="103"/>
      <c r="D31" s="610"/>
      <c r="E31" s="611"/>
      <c r="F31" s="612"/>
      <c r="G31" s="117" t="str">
        <f>IF(ISERROR(AVERAGE(D31,E31,F31)),"Auto-calculate",ROUND(AVERAGE(D31,E31,F31),2))</f>
        <v>Auto-calculate</v>
      </c>
      <c r="H31" s="117"/>
      <c r="I31" s="106"/>
      <c r="J31" s="154"/>
      <c r="K31" s="155"/>
      <c r="L31" s="152"/>
      <c r="M31" s="260"/>
      <c r="N31" s="261"/>
      <c r="O31" s="42"/>
      <c r="P31" s="42"/>
      <c r="Q31" s="101"/>
      <c r="R31" s="107"/>
      <c r="S31" s="107"/>
      <c r="T31" s="107"/>
      <c r="U31" s="107"/>
      <c r="V31" s="107"/>
      <c r="W31" s="107"/>
    </row>
    <row r="32" spans="1:23" s="19" customFormat="1" ht="45.75" customHeight="1">
      <c r="A32" s="12">
        <v>3.2</v>
      </c>
      <c r="B32" s="17" t="s">
        <v>786</v>
      </c>
      <c r="C32" s="18">
        <f>IF((COUNT(Q32:R32)&lt;2),"Auto-calculate",SUM(Q32:R32))</f>
        <v>5</v>
      </c>
      <c r="D32" s="542" t="str">
        <f>IF(ISERROR(AVERAGE(D33:D34)),"Auto-calculate",ROUND(AVERAGE(D33:D34),2))</f>
        <v>Auto-calculate</v>
      </c>
      <c r="E32" s="543" t="str">
        <f>IF(ISERROR(AVERAGE(E33:E34)),"Auto-calculate",ROUND(AVERAGE(E33:E34),2))</f>
        <v>Auto-calculate</v>
      </c>
      <c r="F32" s="527" t="str">
        <f>IF(ISERROR(AVERAGE(F33:F34)),"Auto-calculate",ROUND(AVERAGE(F33:F34),2))</f>
        <v>Auto-calculate</v>
      </c>
      <c r="G32" s="118" t="str">
        <f>IF(ISERROR(AVERAGE(G33,G34)),"Auto-calculate",ROUND(AVERAGE(G33,G34),2))</f>
        <v>Auto-calculate</v>
      </c>
      <c r="H32" s="118" t="str">
        <f>IF((G32="Auto-calculate"),"Auto-calculate",ROUND(G32*Q32/100,2))</f>
        <v>Auto-calculate</v>
      </c>
      <c r="I32" s="131"/>
      <c r="J32" s="149"/>
      <c r="K32" s="130"/>
      <c r="L32" s="156"/>
      <c r="M32" s="252" t="str">
        <f>IF(SUM(COUNTIF(H32,"Auto-calculate"),COUNTIF(L32,"Auto-calculate"))&lt;COUNTA(H32,L32),SUM(H32,L32),"Auto-calculate")</f>
        <v>Auto-calculate</v>
      </c>
      <c r="N32" s="253" t="str">
        <f>IF((M32="Auto-calculate"),"Auto-calculate",IF((M32&gt;=W32),"ดีมาก",IF((M32&gt;=V32),"ดี",IF((M32&gt;=U32),"พอใช้",IF((M32&gt;=T32),"ต้องปรับปรุง",IF((M32&gt;=S32),"ต้องปรับปรุงเร่งด่วน","Auto-calculate"))))))</f>
        <v>Auto-calculate</v>
      </c>
      <c r="O32" s="41"/>
      <c r="P32" s="41"/>
      <c r="Q32" s="21">
        <v>5</v>
      </c>
      <c r="R32" s="24">
        <v>0</v>
      </c>
      <c r="S32" s="108">
        <v>1E-05</v>
      </c>
      <c r="T32" s="24">
        <v>2.5</v>
      </c>
      <c r="U32" s="24">
        <v>3</v>
      </c>
      <c r="V32" s="24">
        <v>3.75</v>
      </c>
      <c r="W32" s="24">
        <v>4.5</v>
      </c>
    </row>
    <row r="33" spans="1:23" s="32" customFormat="1" ht="63.75" customHeight="1">
      <c r="A33" s="30"/>
      <c r="B33" s="26" t="s">
        <v>900</v>
      </c>
      <c r="C33" s="31"/>
      <c r="D33" s="528"/>
      <c r="E33" s="529"/>
      <c r="F33" s="530"/>
      <c r="G33" s="116" t="str">
        <f>IF(ISERROR(AVERAGE(D33,E33,F33)),"Auto-calculate",ROUND(AVERAGE(D33,E33,F33),2))</f>
        <v>Auto-calculate</v>
      </c>
      <c r="H33" s="116"/>
      <c r="I33" s="105"/>
      <c r="J33" s="124"/>
      <c r="K33" s="126"/>
      <c r="L33" s="119"/>
      <c r="M33" s="254"/>
      <c r="N33" s="255"/>
      <c r="O33" s="42"/>
      <c r="P33" s="42"/>
      <c r="Q33" s="21"/>
      <c r="R33" s="24"/>
      <c r="S33" s="24"/>
      <c r="T33" s="24"/>
      <c r="U33" s="24"/>
      <c r="V33" s="24"/>
      <c r="W33" s="24"/>
    </row>
    <row r="34" spans="1:23" s="32" customFormat="1" ht="63" customHeight="1" thickBot="1">
      <c r="A34" s="33"/>
      <c r="B34" s="35" t="s">
        <v>901</v>
      </c>
      <c r="C34" s="34"/>
      <c r="D34" s="528"/>
      <c r="E34" s="529"/>
      <c r="F34" s="530"/>
      <c r="G34" s="152" t="str">
        <f>IF(ISERROR(AVERAGE(D34,E34,F34)),"Auto-calculate",ROUND(AVERAGE(D34,E34,F34),2))</f>
        <v>Auto-calculate</v>
      </c>
      <c r="H34" s="152"/>
      <c r="I34" s="153"/>
      <c r="J34" s="154"/>
      <c r="K34" s="155"/>
      <c r="L34" s="152"/>
      <c r="M34" s="260"/>
      <c r="N34" s="261"/>
      <c r="O34" s="42"/>
      <c r="P34" s="42"/>
      <c r="Q34" s="101"/>
      <c r="R34" s="107"/>
      <c r="S34" s="107"/>
      <c r="T34" s="107"/>
      <c r="U34" s="107"/>
      <c r="V34" s="107"/>
      <c r="W34" s="107"/>
    </row>
    <row r="35" spans="1:23" s="145" customFormat="1" ht="49.5" customHeight="1">
      <c r="A35" s="133" t="s">
        <v>887</v>
      </c>
      <c r="B35" s="158" t="s">
        <v>787</v>
      </c>
      <c r="C35" s="135">
        <f>SUM(C36:C39)</f>
        <v>10</v>
      </c>
      <c r="D35" s="538"/>
      <c r="E35" s="539"/>
      <c r="F35" s="525"/>
      <c r="G35" s="138"/>
      <c r="H35" s="138"/>
      <c r="I35" s="136"/>
      <c r="J35" s="139"/>
      <c r="K35" s="140"/>
      <c r="L35" s="138"/>
      <c r="M35" s="251" t="str">
        <f>IF(OR((M36&lt;&gt;"Auto-calculate"),(M38&lt;&gt;"Auto-calculate")),SUM(M36,M38),"Auto-calculate")</f>
        <v>Auto-calculate</v>
      </c>
      <c r="N35" s="251" t="str">
        <f>IF((M35="Auto-calculate"),"Auto-calculate",IF((M35&gt;=W35),"ดีมาก",IF((M35&gt;=V35),"ดี",IF((M35&gt;=U35),"พอใช้",IF((M35&gt;=T35),"ต้องปรับปรุง",IF((M35&gt;=S35),"ต้องปรับปรุงเร่งด่วน","Auto-calculate"))))))</f>
        <v>Auto-calculate</v>
      </c>
      <c r="O35" s="141"/>
      <c r="P35" s="141"/>
      <c r="Q35" s="142">
        <f>SUM(Q36:Q38)</f>
        <v>10</v>
      </c>
      <c r="R35" s="143">
        <f>SUM(R36:R38)</f>
        <v>0</v>
      </c>
      <c r="S35" s="144">
        <v>1E-05</v>
      </c>
      <c r="T35" s="143">
        <f>SUM(T36:T38)</f>
        <v>5</v>
      </c>
      <c r="U35" s="143">
        <f>SUM(U36:U38)</f>
        <v>6</v>
      </c>
      <c r="V35" s="143">
        <f>SUM(V36:V38)</f>
        <v>7.5</v>
      </c>
      <c r="W35" s="143">
        <f>SUM(W36:W38)</f>
        <v>9</v>
      </c>
    </row>
    <row r="36" spans="1:23" s="19" customFormat="1" ht="45.75" customHeight="1">
      <c r="A36" s="12">
        <v>4.1</v>
      </c>
      <c r="B36" s="13" t="s">
        <v>788</v>
      </c>
      <c r="C36" s="14">
        <f>IF((COUNT(Q36:R36)&lt;2),"Auto-calculate",SUM(Q36:R36))</f>
        <v>5</v>
      </c>
      <c r="D36" s="540"/>
      <c r="E36" s="541"/>
      <c r="F36" s="526" t="str">
        <f>IF(ISERROR(AVERAGE(F37:F37)),"Auto-calculate",ROUND(AVERAGE(F37:F37),2))</f>
        <v>Auto-calculate</v>
      </c>
      <c r="G36" s="116" t="str">
        <f>IF(ISERROR(AVERAGE(D36,E36,F36)),"Auto-calculate",ROUND(AVERAGE(D36,E36,F36),2))</f>
        <v>Auto-calculate</v>
      </c>
      <c r="H36" s="116" t="str">
        <f>IF((G36="Auto-calculate"),"Auto-calculate",ROUND(G36*Q36/100,2))</f>
        <v>Auto-calculate</v>
      </c>
      <c r="I36" s="148"/>
      <c r="J36" s="149"/>
      <c r="K36" s="130"/>
      <c r="L36" s="156"/>
      <c r="M36" s="252" t="str">
        <f>IF(SUM(COUNTIF(H36,"Auto-calculate"),COUNTIF(L36,"Auto-calculate"))&lt;COUNTA(H36,L36),SUM(H36,L36),"Auto-calculate")</f>
        <v>Auto-calculate</v>
      </c>
      <c r="N36" s="253" t="str">
        <f>IF((M36="Auto-calculate"),"Auto-calculate",IF((M36&gt;=W36),"ดีมาก",IF((M36&gt;=V36),"ดี",IF((M36&gt;=U36),"พอใช้",IF((M36&gt;=T36),"ต้องปรับปรุง",IF((M36&gt;=S36),"ต้องปรับปรุงเร่งด่วน","Auto-calculate"))))))</f>
        <v>Auto-calculate</v>
      </c>
      <c r="O36" s="41"/>
      <c r="P36" s="41"/>
      <c r="Q36" s="21">
        <v>5</v>
      </c>
      <c r="R36" s="24">
        <v>0</v>
      </c>
      <c r="S36" s="108">
        <v>1E-05</v>
      </c>
      <c r="T36" s="24">
        <v>2.5</v>
      </c>
      <c r="U36" s="24">
        <v>3</v>
      </c>
      <c r="V36" s="24">
        <v>3.75</v>
      </c>
      <c r="W36" s="24">
        <v>4.5</v>
      </c>
    </row>
    <row r="37" spans="1:23" s="32" customFormat="1" ht="84" customHeight="1" thickBot="1">
      <c r="A37" s="30"/>
      <c r="B37" s="102" t="s">
        <v>902</v>
      </c>
      <c r="C37" s="103"/>
      <c r="D37" s="578"/>
      <c r="E37" s="579"/>
      <c r="F37" s="530"/>
      <c r="G37" s="117" t="str">
        <f>IF(ISERROR(AVERAGE(D37,E37,F37)),"Auto-calculate",ROUND(AVERAGE(D37,E37,F37),2))</f>
        <v>Auto-calculate</v>
      </c>
      <c r="H37" s="117"/>
      <c r="I37" s="106"/>
      <c r="J37" s="150"/>
      <c r="K37" s="146"/>
      <c r="L37" s="147"/>
      <c r="M37" s="256"/>
      <c r="N37" s="257"/>
      <c r="O37" s="42"/>
      <c r="P37" s="42"/>
      <c r="Q37" s="21"/>
      <c r="R37" s="24"/>
      <c r="S37" s="24"/>
      <c r="T37" s="24"/>
      <c r="U37" s="24"/>
      <c r="V37" s="24"/>
      <c r="W37" s="24"/>
    </row>
    <row r="38" spans="1:23" s="19" customFormat="1" ht="40.5">
      <c r="A38" s="16">
        <v>4.2</v>
      </c>
      <c r="B38" s="17" t="s">
        <v>789</v>
      </c>
      <c r="C38" s="18">
        <f>IF((COUNT(Q38:R38)&lt;2),"Auto-calculate",SUM(Q38:R38))</f>
        <v>5</v>
      </c>
      <c r="D38" s="542"/>
      <c r="E38" s="543"/>
      <c r="F38" s="527" t="str">
        <f>IF(ISERROR(AVERAGE(F39:F39)),"Auto-calculate",ROUND(AVERAGE(F39:F39),2))</f>
        <v>Auto-calculate</v>
      </c>
      <c r="G38" s="118" t="str">
        <f>IF(ISERROR(AVERAGE(D38,E38,F38)),"Auto-calculate",ROUND(AVERAGE(D38,E38,F38),2))</f>
        <v>Auto-calculate</v>
      </c>
      <c r="H38" s="118" t="str">
        <f>IF((G38="Auto-calculate"),"Auto-calculate",ROUND(G38*Q38/100,2))</f>
        <v>Auto-calculate</v>
      </c>
      <c r="I38" s="131"/>
      <c r="J38" s="132"/>
      <c r="K38" s="151"/>
      <c r="L38" s="157"/>
      <c r="M38" s="258" t="str">
        <f>IF(SUM(COUNTIF(H38,"Auto-calculate"),COUNTIF(L38,"Auto-calculate"))&lt;COUNTA(H38,L38),SUM(H38,L38),"Auto-calculate")</f>
        <v>Auto-calculate</v>
      </c>
      <c r="N38" s="259" t="str">
        <f>IF((M38="Auto-calculate"),"Auto-calculate",IF((M38&gt;=W38),"ดีมาก",IF((M38&gt;=V38),"ดี",IF((M38&gt;=U38),"พอใช้",IF((M38&gt;=T38),"ต้องปรับปรุง",IF((M38&gt;=S38),"ต้องปรับปรุงเร่งด่วน","Auto-calculate"))))))</f>
        <v>Auto-calculate</v>
      </c>
      <c r="O38" s="41"/>
      <c r="P38" s="41"/>
      <c r="Q38" s="21">
        <v>5</v>
      </c>
      <c r="R38" s="24">
        <v>0</v>
      </c>
      <c r="S38" s="108">
        <v>1E-05</v>
      </c>
      <c r="T38" s="24">
        <v>2.5</v>
      </c>
      <c r="U38" s="24">
        <v>3</v>
      </c>
      <c r="V38" s="24">
        <v>3.75</v>
      </c>
      <c r="W38" s="24">
        <v>4.5</v>
      </c>
    </row>
    <row r="39" spans="1:23" s="32" customFormat="1" ht="90" customHeight="1" thickBot="1">
      <c r="A39" s="33"/>
      <c r="B39" s="35" t="s">
        <v>903</v>
      </c>
      <c r="C39" s="34"/>
      <c r="D39" s="580"/>
      <c r="E39" s="581"/>
      <c r="F39" s="533"/>
      <c r="G39" s="544" t="str">
        <f>IF(ISERROR(AVERAGE(D39,E39,F39)),"Auto-calculate",ROUND(AVERAGE(D39,E39,F39),2))</f>
        <v>Auto-calculate</v>
      </c>
      <c r="H39" s="544"/>
      <c r="I39" s="153"/>
      <c r="J39" s="545"/>
      <c r="K39" s="523"/>
      <c r="L39" s="524"/>
      <c r="M39" s="260"/>
      <c r="N39" s="261"/>
      <c r="O39" s="42"/>
      <c r="P39" s="42"/>
      <c r="Q39" s="21"/>
      <c r="R39" s="24"/>
      <c r="S39" s="24"/>
      <c r="T39" s="24"/>
      <c r="U39" s="24"/>
      <c r="V39" s="24"/>
      <c r="W39" s="24"/>
    </row>
  </sheetData>
  <sheetProtection password="D502" sheet="1"/>
  <protectedRanges>
    <protectedRange sqref="E8" name="มฐ.1ถึง4_1"/>
    <protectedRange sqref="D15:F16 D18:F18 D21:F21 D23:F24 D26:F27 D30:F31 D33:F34 F37 F39 K17 K22 C8:D8" name="มฐ.1ถึง4"/>
  </protectedRanges>
  <mergeCells count="18">
    <mergeCell ref="N10:N12"/>
    <mergeCell ref="M10:M12"/>
    <mergeCell ref="A10:A12"/>
    <mergeCell ref="C10:C12"/>
    <mergeCell ref="B10:B12"/>
    <mergeCell ref="G10:G12"/>
    <mergeCell ref="D10:F10"/>
    <mergeCell ref="H10:H12"/>
    <mergeCell ref="V10:V12"/>
    <mergeCell ref="W10:W12"/>
    <mergeCell ref="I10:K10"/>
    <mergeCell ref="I11:J11"/>
    <mergeCell ref="R10:R12"/>
    <mergeCell ref="S10:S12"/>
    <mergeCell ref="T10:T12"/>
    <mergeCell ref="U10:U12"/>
    <mergeCell ref="L10:L12"/>
    <mergeCell ref="Q10:Q12"/>
  </mergeCells>
  <conditionalFormatting sqref="I39:K39 I15:K16 K17 I18:K18 I21:K21 I23:K24 K22 I26:K27 I30:K31 I33:K34 I37:K37 B5:B8 D39:F39 D15:F16 D18:F18 D21:F21 D23:F24 D26:F27 D30:F31 D33:F34 D37:F37 C8:E8">
    <cfRule type="expression" priority="3" dxfId="0" stopIfTrue="1">
      <formula>B5&lt;&gt;""</formula>
    </cfRule>
  </conditionalFormatting>
  <dataValidations count="3">
    <dataValidation type="whole" allowBlank="1" showInputMessage="1" showErrorMessage="1" errorTitle="ค่าที่คุณป้อนไม่ถูกต้อง" error="กรุณาตรวจสอบข้อมูล ค่าที่ป้อนได้เป็นจำนวนเต็ม 0, 1, 2 หรือ 3 เท่านั้น" sqref="K17">
      <formula1>0</formula1>
      <formula2>3</formula2>
    </dataValidation>
    <dataValidation type="whole" allowBlank="1" showInputMessage="1" showErrorMessage="1" errorTitle="ค่าที่คุณป้อนไม่ถูกต้อง" error="กรุณาตรวจสอบข้อมูล ค่าที่ป้อนได้เป็นจำนวนเต็มมีค่าไม่เกิน 9" sqref="K22">
      <formula1>0</formula1>
      <formula2>9</formula2>
    </dataValidation>
    <dataValidation type="decimal" allowBlank="1" showInputMessage="1" showErrorMessage="1" errorTitle="ค่าที่คุณป้อนไม่ถูกต้อง" error="ค่าร้อยละมีค่าได้ตั้งแต่ 0 ถึง 100 เท่านั้น" sqref="D15:F16 D18:F18 D21:F21 D23:F24 D26:F27 D30:F31 D33:F34 D37:F37 D39:F39">
      <formula1>0</formula1>
      <formula2>100</formula2>
    </dataValidation>
  </dataValidations>
  <printOptions/>
  <pageMargins left="0.73" right="0.2" top="0.19" bottom="0.16" header="0.31496062992125984" footer="0.16"/>
  <pageSetup horizontalDpi="600" verticalDpi="600" orientation="landscape" paperSize="9" scale="62" r:id="rId1"/>
  <headerFooter>
    <oddFooter>&amp;L&amp;7&amp;Z&amp;F&amp;R&amp;"BrowalliaUPC,ธรรมดา"&amp;14รับรองข้อมูลถูกต้อง     
..........................................</oddFooter>
  </headerFooter>
  <rowBreaks count="2" manualBreakCount="2">
    <brk id="24" max="13" man="1"/>
    <brk id="3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O42"/>
  <sheetViews>
    <sheetView showGridLines="0" tabSelected="1" zoomScale="115" zoomScaleNormal="115" zoomScalePageLayoutView="0" workbookViewId="0" topLeftCell="A34">
      <selection activeCell="H40" sqref="H40"/>
    </sheetView>
  </sheetViews>
  <sheetFormatPr defaultColWidth="9.00390625" defaultRowHeight="14.25"/>
  <cols>
    <col min="1" max="1" width="10.375" style="0" customWidth="1"/>
    <col min="2" max="2" width="38.375" style="0" customWidth="1"/>
    <col min="3" max="3" width="9.50390625" style="0" customWidth="1"/>
    <col min="4" max="4" width="9.125" style="83" customWidth="1"/>
    <col min="5" max="5" width="11.50390625" style="83" customWidth="1"/>
    <col min="6" max="6" width="13.50390625" style="83" customWidth="1"/>
    <col min="7" max="7" width="9.125" style="83" customWidth="1"/>
    <col min="8" max="8" width="11.50390625" style="83" customWidth="1"/>
    <col min="9" max="9" width="13.50390625" style="83" customWidth="1"/>
    <col min="13" max="13" width="17.75390625" style="0" customWidth="1"/>
  </cols>
  <sheetData>
    <row r="1" spans="1:8" ht="26.25">
      <c r="A1" s="27" t="s">
        <v>386</v>
      </c>
      <c r="C1" s="80"/>
      <c r="D1" s="81"/>
      <c r="H1" s="551"/>
    </row>
    <row r="2" spans="1:8" ht="26.25">
      <c r="A2" s="27" t="s">
        <v>764</v>
      </c>
      <c r="C2" s="80"/>
      <c r="D2" s="81"/>
      <c r="H2" s="551"/>
    </row>
    <row r="3" spans="1:8" ht="21">
      <c r="A3" s="84" t="s">
        <v>70</v>
      </c>
      <c r="C3" s="80"/>
      <c r="D3" s="81"/>
      <c r="H3" s="551"/>
    </row>
    <row r="4" spans="3:8" ht="2.25" customHeight="1" thickBot="1">
      <c r="C4" s="80"/>
      <c r="D4" s="81"/>
      <c r="H4" s="551"/>
    </row>
    <row r="5" spans="1:9" s="85" customFormat="1" ht="30" customHeight="1" thickBot="1">
      <c r="A5" s="86" t="s">
        <v>638</v>
      </c>
      <c r="B5" s="87">
        <f>IF(('EntryData-ข้อมูล1'!C10&lt;&gt;""),'EntryData-ข้อมูล1'!C10,"")</f>
      </c>
      <c r="C5" s="88" t="s">
        <v>642</v>
      </c>
      <c r="D5" s="82"/>
      <c r="E5" s="82"/>
      <c r="F5" s="82"/>
      <c r="G5" s="82"/>
      <c r="H5" s="550"/>
      <c r="I5" s="82"/>
    </row>
    <row r="6" spans="1:9" s="85" customFormat="1" ht="30" customHeight="1" thickBot="1">
      <c r="A6" s="86" t="s">
        <v>639</v>
      </c>
      <c r="B6" s="87">
        <f>IF(('EntryData-ข้อมูล1'!C11&lt;&gt;""),'EntryData-ข้อมูล1'!C11,"")</f>
      </c>
      <c r="D6" s="81"/>
      <c r="E6" s="82"/>
      <c r="F6" s="82"/>
      <c r="G6" s="82"/>
      <c r="H6" s="550"/>
      <c r="I6" s="82"/>
    </row>
    <row r="7" spans="1:9" s="93" customFormat="1" ht="6" customHeight="1" thickBot="1">
      <c r="A7" s="548"/>
      <c r="B7" s="95"/>
      <c r="D7" s="549"/>
      <c r="E7" s="550"/>
      <c r="F7" s="550"/>
      <c r="G7" s="550"/>
      <c r="H7" s="550"/>
      <c r="I7" s="550"/>
    </row>
    <row r="8" spans="1:13" s="552" customFormat="1" ht="30" customHeight="1">
      <c r="A8" s="755" t="s">
        <v>798</v>
      </c>
      <c r="B8" s="767" t="s">
        <v>376</v>
      </c>
      <c r="C8" s="765" t="s">
        <v>377</v>
      </c>
      <c r="D8" s="760" t="s">
        <v>378</v>
      </c>
      <c r="E8" s="761"/>
      <c r="F8" s="762"/>
      <c r="G8" s="763" t="s">
        <v>382</v>
      </c>
      <c r="H8" s="761"/>
      <c r="I8" s="764"/>
      <c r="J8" s="757" t="s">
        <v>813</v>
      </c>
      <c r="K8" s="758"/>
      <c r="L8" s="759"/>
      <c r="M8" s="572" t="s">
        <v>818</v>
      </c>
    </row>
    <row r="9" spans="1:13" s="553" customFormat="1" ht="84.75" thickBot="1">
      <c r="A9" s="756"/>
      <c r="B9" s="768"/>
      <c r="C9" s="766"/>
      <c r="D9" s="568" t="s">
        <v>379</v>
      </c>
      <c r="E9" s="569" t="s">
        <v>380</v>
      </c>
      <c r="F9" s="570" t="s">
        <v>381</v>
      </c>
      <c r="G9" s="571" t="s">
        <v>379</v>
      </c>
      <c r="H9" s="569" t="s">
        <v>380</v>
      </c>
      <c r="I9" s="567" t="s">
        <v>381</v>
      </c>
      <c r="J9" s="573" t="s">
        <v>383</v>
      </c>
      <c r="K9" s="574" t="s">
        <v>384</v>
      </c>
      <c r="L9" s="575" t="s">
        <v>385</v>
      </c>
      <c r="M9" s="576" t="s">
        <v>819</v>
      </c>
    </row>
    <row r="10" spans="1:15" s="145" customFormat="1" ht="22.5">
      <c r="A10" s="133" t="s">
        <v>888</v>
      </c>
      <c r="B10" s="134" t="s">
        <v>790</v>
      </c>
      <c r="C10" s="135">
        <v>20</v>
      </c>
      <c r="D10" s="238"/>
      <c r="E10" s="239"/>
      <c r="F10" s="525"/>
      <c r="G10" s="554"/>
      <c r="H10" s="239"/>
      <c r="I10" s="137"/>
      <c r="J10" s="538"/>
      <c r="K10" s="539"/>
      <c r="L10" s="558">
        <f>IF(COUNTIF(L11:L42,"Auto-calculate")&lt;8,ROUND(SUM(L11,L15,L19,L23,L27,L31,L35,L39),2),"Auto-calculate")</f>
        <v>2.5</v>
      </c>
      <c r="M10" s="251" t="str">
        <f>IF((L10="Auto-calculate"),"Auto-calculate",IF((L10&gt;=16),"ดีมาก",IF((L10&gt;=12),"ดี",IF((L10&gt;=8),"พอใช้",IF((L10&gt;=4),"ต้องปรับปรุง",IF((L10&gt;=0),"ต้องปรับปรุงเร่งด่วน","Auto-calculate"))))))</f>
        <v>ต้องปรับปรุงเร่งด่วน</v>
      </c>
      <c r="N10" s="141"/>
      <c r="O10" s="141"/>
    </row>
    <row r="11" spans="1:15" s="19" customFormat="1" ht="45.75" customHeight="1">
      <c r="A11" s="12">
        <v>5.1</v>
      </c>
      <c r="B11" s="13" t="s">
        <v>791</v>
      </c>
      <c r="C11" s="14">
        <v>2.5</v>
      </c>
      <c r="D11" s="240"/>
      <c r="E11" s="241"/>
      <c r="F11" s="526" t="str">
        <f>IF(ISERROR(AVERAGE(F12:F14)),"Auto-calculate",ROUND(AVERAGE(F12:F14),2))</f>
        <v>Auto-calculate</v>
      </c>
      <c r="G11" s="555"/>
      <c r="H11" s="241"/>
      <c r="I11" s="112" t="str">
        <f>IF(ISERROR(AVERAGE(I12:I14)),"Auto-calculate",ROUND(AVERAGE(I12:I14),2))</f>
        <v>Auto-calculate</v>
      </c>
      <c r="J11" s="540" t="str">
        <f>IF((F11="Auto-calculate"),"Auto-calculate",ROUND(F11*2/100,2))</f>
        <v>Auto-calculate</v>
      </c>
      <c r="K11" s="559" t="str">
        <f>IF(COUNTIF(I11:I11,"Auto-calculate")&gt;0,"Auto-calculate",IF(OR(AND((I11&gt;=80),(F11&gt;=80)),(F11&gt;I11)),0.5,IF(AND((I11=F11),(I11&gt;0),(F11&gt;0)),0.25,IF(OR((F11&lt;I11),AND((I11=0),(F11=0))),0,"Adkfdl"))))</f>
        <v>Auto-calculate</v>
      </c>
      <c r="L11" s="560" t="str">
        <f>IF(SUM(COUNTIF(J11,"Auto-calculate"),COUNTIF(K11,"Auto-calculate"))&lt;COUNTA(J11,K11),SUM(J11,K11),"Auto-calculate")</f>
        <v>Auto-calculate</v>
      </c>
      <c r="M11" s="253" t="str">
        <f>IF((L11="Auto-calculate"),"Auto-calculate",IF((L11&gt;=2),"ดีมาก",IF((L11&gt;=1.5),"ดี",IF((L11&gt;=1),"พอใช้",IF((L11&gt;=0.5),"ต้องปรับปรุง",IF((L11&gt;=0),"ต้องปรับปรุงเร่งด่วน","Auto-calculate"))))))</f>
        <v>Auto-calculate</v>
      </c>
      <c r="N11" s="41"/>
      <c r="O11" s="41"/>
    </row>
    <row r="12" spans="1:15" s="32" customFormat="1" ht="40.5" customHeight="1">
      <c r="A12" s="30"/>
      <c r="B12" s="26" t="s">
        <v>712</v>
      </c>
      <c r="C12" s="31"/>
      <c r="D12" s="242"/>
      <c r="E12" s="243"/>
      <c r="F12" s="557" t="str">
        <f>IF(COUNT(D12,E12)=2,ROUND(E12/D12*100,2),"Auto-calculate")</f>
        <v>Auto-calculate</v>
      </c>
      <c r="G12" s="556"/>
      <c r="H12" s="243"/>
      <c r="I12" s="557" t="str">
        <f>IF(COUNT(G12,H12)=2,ROUND(H12/G12*100,2),"Auto-calculate")</f>
        <v>Auto-calculate</v>
      </c>
      <c r="J12" s="540"/>
      <c r="K12" s="559"/>
      <c r="L12" s="561"/>
      <c r="M12" s="255"/>
      <c r="N12" s="42"/>
      <c r="O12" s="42"/>
    </row>
    <row r="13" spans="1:15" s="32" customFormat="1" ht="40.5">
      <c r="A13" s="30"/>
      <c r="B13" s="26" t="s">
        <v>713</v>
      </c>
      <c r="C13" s="31"/>
      <c r="D13" s="242"/>
      <c r="E13" s="243"/>
      <c r="F13" s="557" t="str">
        <f>IF(COUNT(D13,E13)=2,ROUND(E13/D13*100,2),"Auto-calculate")</f>
        <v>Auto-calculate</v>
      </c>
      <c r="G13" s="556"/>
      <c r="H13" s="243"/>
      <c r="I13" s="557" t="str">
        <f>IF(COUNT(G13,H13)=2,ROUND(H13/G13*100,2),"Auto-calculate")</f>
        <v>Auto-calculate</v>
      </c>
      <c r="J13" s="562"/>
      <c r="K13" s="563"/>
      <c r="L13" s="561"/>
      <c r="M13" s="255"/>
      <c r="N13" s="42"/>
      <c r="O13" s="42"/>
    </row>
    <row r="14" spans="1:15" s="32" customFormat="1" ht="41.25" thickBot="1">
      <c r="A14" s="33"/>
      <c r="B14" s="35" t="s">
        <v>714</v>
      </c>
      <c r="C14" s="34"/>
      <c r="D14" s="244"/>
      <c r="E14" s="245"/>
      <c r="F14" s="609" t="str">
        <f>IF(COUNT(D14,E14)=2,ROUND(E14/D14*100,2),"Auto-calculate")</f>
        <v>Auto-calculate</v>
      </c>
      <c r="G14" s="244"/>
      <c r="H14" s="245"/>
      <c r="I14" s="609" t="str">
        <f>IF(COUNT(G14,H14)=2,ROUND(H14/G14*100,2),"Auto-calculate")</f>
        <v>Auto-calculate</v>
      </c>
      <c r="J14" s="564"/>
      <c r="K14" s="565"/>
      <c r="L14" s="566"/>
      <c r="M14" s="261"/>
      <c r="N14" s="42"/>
      <c r="O14" s="42"/>
    </row>
    <row r="15" spans="1:15" s="19" customFormat="1" ht="40.5">
      <c r="A15" s="12">
        <v>5.2</v>
      </c>
      <c r="B15" s="13" t="s">
        <v>708</v>
      </c>
      <c r="C15" s="14">
        <v>2.5</v>
      </c>
      <c r="D15" s="240"/>
      <c r="E15" s="241"/>
      <c r="F15" s="159" t="str">
        <f>IF(ISERROR(AVERAGE(F16:F18)),"Auto-calculate",ROUND(AVERAGE(F16:F18),2))</f>
        <v>Auto-calculate</v>
      </c>
      <c r="G15" s="240"/>
      <c r="H15" s="241"/>
      <c r="I15" s="159" t="str">
        <f>IF(ISERROR(AVERAGE(I16:I18)),"Auto-calculate",ROUND(AVERAGE(I16:I18),2))</f>
        <v>Auto-calculate</v>
      </c>
      <c r="J15" s="540" t="str">
        <f>IF((F15="Auto-calculate"),"Auto-calculate",ROUND(F15*2/100,2))</f>
        <v>Auto-calculate</v>
      </c>
      <c r="K15" s="559" t="str">
        <f>IF(COUNTIF(I15:I15,"Auto-calculate")&gt;0,"Auto-calculate",IF(OR(AND((I15&gt;=80),(F15&gt;=80)),(F15&gt;I15)),0.5,IF(AND((I15=F15),(I15&gt;0),(F15&gt;0)),0.25,IF(OR((F15&lt;I15),AND((I15=0),(F15=0))),0,"Adkfdl"))))</f>
        <v>Auto-calculate</v>
      </c>
      <c r="L15" s="560" t="str">
        <f>IF(SUM(COUNTIF(J15,"Auto-calculate"),COUNTIF(K15,"Auto-calculate"))&lt;COUNTA(J15,K15),SUM(J15,K15),"Auto-calculate")</f>
        <v>Auto-calculate</v>
      </c>
      <c r="M15" s="253" t="str">
        <f>IF((L15="Auto-calculate"),"Auto-calculate",IF((L15&gt;=2),"ดีมาก",IF((L15&gt;=1.5),"ดี",IF((L15&gt;=1),"พอใช้",IF((L15&gt;=0.5),"ต้องปรับปรุง",IF((L15&gt;=0),"ต้องปรับปรุงเร่งด่วน","Auto-calculate"))))))</f>
        <v>Auto-calculate</v>
      </c>
      <c r="N15" s="41"/>
      <c r="O15" s="41"/>
    </row>
    <row r="16" spans="1:15" s="32" customFormat="1" ht="40.5" customHeight="1">
      <c r="A16" s="30"/>
      <c r="B16" s="26" t="s">
        <v>709</v>
      </c>
      <c r="C16" s="31"/>
      <c r="D16" s="242"/>
      <c r="E16" s="243"/>
      <c r="F16" s="557" t="str">
        <f>IF(COUNT(D16,E16)=2,ROUND(E16/D16*100,2),"Auto-calculate")</f>
        <v>Auto-calculate</v>
      </c>
      <c r="G16" s="242"/>
      <c r="H16" s="243"/>
      <c r="I16" s="557" t="str">
        <f>IF(COUNT(G16,H16)=2,ROUND(H16/G16*100,2),"Auto-calculate")</f>
        <v>Auto-calculate</v>
      </c>
      <c r="J16" s="540"/>
      <c r="K16" s="559"/>
      <c r="L16" s="561"/>
      <c r="M16" s="255"/>
      <c r="N16" s="42"/>
      <c r="O16" s="42"/>
    </row>
    <row r="17" spans="1:15" s="32" customFormat="1" ht="47.25" customHeight="1">
      <c r="A17" s="30"/>
      <c r="B17" s="26" t="s">
        <v>710</v>
      </c>
      <c r="C17" s="31"/>
      <c r="D17" s="242"/>
      <c r="E17" s="243"/>
      <c r="F17" s="557" t="str">
        <f>IF(COUNT(D17,E17)=2,ROUND(E17/D17*100,2),"Auto-calculate")</f>
        <v>Auto-calculate</v>
      </c>
      <c r="G17" s="242"/>
      <c r="H17" s="243"/>
      <c r="I17" s="557" t="str">
        <f>IF(COUNT(G17,H17)=2,ROUND(H17/G17*100,2),"Auto-calculate")</f>
        <v>Auto-calculate</v>
      </c>
      <c r="J17" s="562"/>
      <c r="K17" s="563"/>
      <c r="L17" s="561"/>
      <c r="M17" s="255"/>
      <c r="N17" s="42"/>
      <c r="O17" s="42"/>
    </row>
    <row r="18" spans="1:15" s="32" customFormat="1" ht="46.5" customHeight="1" thickBot="1">
      <c r="A18" s="33"/>
      <c r="B18" s="35" t="s">
        <v>711</v>
      </c>
      <c r="C18" s="34"/>
      <c r="D18" s="244"/>
      <c r="E18" s="245"/>
      <c r="F18" s="609" t="str">
        <f>IF(COUNT(D18,E18)=2,ROUND(E18/D18*100,2),"Auto-calculate")</f>
        <v>Auto-calculate</v>
      </c>
      <c r="G18" s="244"/>
      <c r="H18" s="245"/>
      <c r="I18" s="609" t="str">
        <f>IF(COUNT(G18,H18)=2,ROUND(H18/G18*100,2),"Auto-calculate")</f>
        <v>Auto-calculate</v>
      </c>
      <c r="J18" s="564"/>
      <c r="K18" s="565"/>
      <c r="L18" s="566"/>
      <c r="M18" s="261"/>
      <c r="N18" s="42"/>
      <c r="O18" s="42"/>
    </row>
    <row r="19" spans="1:15" s="19" customFormat="1" ht="40.5">
      <c r="A19" s="12">
        <v>5.3</v>
      </c>
      <c r="B19" s="13" t="s">
        <v>718</v>
      </c>
      <c r="C19" s="14">
        <v>2.5</v>
      </c>
      <c r="D19" s="240"/>
      <c r="E19" s="241"/>
      <c r="F19" s="159" t="str">
        <f>IF(ISERROR(AVERAGE(F20:F22)),"Auto-calculate",ROUND(AVERAGE(F20:F22),2))</f>
        <v>Auto-calculate</v>
      </c>
      <c r="G19" s="240"/>
      <c r="H19" s="241"/>
      <c r="I19" s="159" t="str">
        <f>IF(ISERROR(AVERAGE(I20:I22)),"Auto-calculate",ROUND(AVERAGE(I20:I22),2))</f>
        <v>Auto-calculate</v>
      </c>
      <c r="J19" s="540" t="str">
        <f>IF((F19="Auto-calculate"),"Auto-calculate",ROUND(F19*2/100,2))</f>
        <v>Auto-calculate</v>
      </c>
      <c r="K19" s="559" t="str">
        <f>IF(COUNTIF(I19:I19,"Auto-calculate")&gt;0,"Auto-calculate",IF(OR(AND((I19&gt;=80),(F19&gt;=80)),(F19&gt;I19)),0.5,IF(AND((I19=F19),(I19&gt;0),(F19&gt;0)),0.25,IF(OR((F19&lt;I19),AND((I19=0),(F19=0))),0,"Adkfdl"))))</f>
        <v>Auto-calculate</v>
      </c>
      <c r="L19" s="560" t="str">
        <f>IF(SUM(COUNTIF(J19,"Auto-calculate"),COUNTIF(K19,"Auto-calculate"))&lt;COUNTA(J19,K19),SUM(J19,K19),"Auto-calculate")</f>
        <v>Auto-calculate</v>
      </c>
      <c r="M19" s="253" t="str">
        <f>IF((L19="Auto-calculate"),"Auto-calculate",IF((L19&gt;=2),"ดีมาก",IF((L19&gt;=1.5),"ดี",IF((L19&gt;=1),"พอใช้",IF((L19&gt;=0.5),"ต้องปรับปรุง",IF((L19&gt;=0),"ต้องปรับปรุงเร่งด่วน","Auto-calculate"))))))</f>
        <v>Auto-calculate</v>
      </c>
      <c r="N19" s="41"/>
      <c r="O19" s="41"/>
    </row>
    <row r="20" spans="1:15" s="32" customFormat="1" ht="40.5" customHeight="1">
      <c r="A20" s="30"/>
      <c r="B20" s="26" t="s">
        <v>715</v>
      </c>
      <c r="C20" s="31"/>
      <c r="D20" s="242"/>
      <c r="E20" s="243"/>
      <c r="F20" s="557" t="str">
        <f>IF(COUNT(D20,E20)=2,ROUND(E20/D20*100,2),"Auto-calculate")</f>
        <v>Auto-calculate</v>
      </c>
      <c r="G20" s="242"/>
      <c r="H20" s="243"/>
      <c r="I20" s="557" t="str">
        <f>IF(COUNT(G20,H20)=2,ROUND(H20/G20*100,2),"Auto-calculate")</f>
        <v>Auto-calculate</v>
      </c>
      <c r="J20" s="540"/>
      <c r="K20" s="559"/>
      <c r="L20" s="561"/>
      <c r="M20" s="255"/>
      <c r="N20" s="42"/>
      <c r="O20" s="42"/>
    </row>
    <row r="21" spans="1:15" s="32" customFormat="1" ht="40.5">
      <c r="A21" s="30"/>
      <c r="B21" s="26" t="s">
        <v>716</v>
      </c>
      <c r="C21" s="31"/>
      <c r="D21" s="242"/>
      <c r="E21" s="243"/>
      <c r="F21" s="557" t="str">
        <f>IF(COUNT(D21,E21)=2,ROUND(E21/D21*100,2),"Auto-calculate")</f>
        <v>Auto-calculate</v>
      </c>
      <c r="G21" s="242"/>
      <c r="H21" s="243"/>
      <c r="I21" s="557" t="str">
        <f>IF(COUNT(G21,H21)=2,ROUND(H21/G21*100,2),"Auto-calculate")</f>
        <v>Auto-calculate</v>
      </c>
      <c r="J21" s="562"/>
      <c r="K21" s="563"/>
      <c r="L21" s="561"/>
      <c r="M21" s="255"/>
      <c r="N21" s="42"/>
      <c r="O21" s="42"/>
    </row>
    <row r="22" spans="1:15" s="32" customFormat="1" ht="41.25" thickBot="1">
      <c r="A22" s="33"/>
      <c r="B22" s="35" t="s">
        <v>717</v>
      </c>
      <c r="C22" s="34"/>
      <c r="D22" s="244"/>
      <c r="E22" s="245"/>
      <c r="F22" s="609" t="str">
        <f>IF(COUNT(D22,E22)=2,ROUND(E22/D22*100,2),"Auto-calculate")</f>
        <v>Auto-calculate</v>
      </c>
      <c r="G22" s="244"/>
      <c r="H22" s="245"/>
      <c r="I22" s="609" t="str">
        <f>IF(COUNT(G22,H22)=2,ROUND(H22/G22*100,2),"Auto-calculate")</f>
        <v>Auto-calculate</v>
      </c>
      <c r="J22" s="564"/>
      <c r="K22" s="565"/>
      <c r="L22" s="566"/>
      <c r="M22" s="261"/>
      <c r="N22" s="42"/>
      <c r="O22" s="42"/>
    </row>
    <row r="23" spans="1:15" s="19" customFormat="1" ht="60.75">
      <c r="A23" s="12">
        <v>5.4</v>
      </c>
      <c r="B23" s="13" t="s">
        <v>792</v>
      </c>
      <c r="C23" s="14">
        <v>2.5</v>
      </c>
      <c r="D23" s="240"/>
      <c r="E23" s="241"/>
      <c r="F23" s="159">
        <f>IF(ISERROR(AVERAGE(F24:F26)),"Auto-calculate",ROUND(AVERAGE(F24:F26),2))</f>
        <v>53.85</v>
      </c>
      <c r="G23" s="240"/>
      <c r="H23" s="241"/>
      <c r="I23" s="159">
        <f>IF(ISERROR(AVERAGE(I24:I26)),"Auto-calculate",ROUND(AVERAGE(I24:I26),2))</f>
        <v>37.5</v>
      </c>
      <c r="J23" s="540">
        <f>IF((F23="Auto-calculate"),"Auto-calculate",ROUND(F23*2/100,2))</f>
        <v>1.08</v>
      </c>
      <c r="K23" s="559">
        <f>IF(COUNTIF(I23:I23,"Auto-calculate")&gt;0,"Auto-calculate",IF(OR(AND((I23&gt;=80),(F23&gt;=80)),(F23&gt;I23)),0.5,IF(AND((I23=F23),(I23&gt;0),(F23&gt;0)),0.25,IF(OR((F23&lt;I23),AND((I23=0),(F23=0))),0,"Adkfdl"))))</f>
        <v>0.5</v>
      </c>
      <c r="L23" s="560">
        <f>IF(SUM(COUNTIF(J23,"Auto-calculate"),COUNTIF(K23,"Auto-calculate"))&lt;COUNTA(J23,K23),SUM(J23,K23),"Auto-calculate")</f>
        <v>1.58</v>
      </c>
      <c r="M23" s="253" t="str">
        <f>IF((L23="Auto-calculate"),"Auto-calculate",IF((L23&gt;=2),"ดีมาก",IF((L23&gt;=1.5),"ดี",IF((L23&gt;=1),"พอใช้",IF((L23&gt;=0.5),"ต้องปรับปรุง",IF((L23&gt;=0),"ต้องปรับปรุงเร่งด่วน","Auto-calculate"))))))</f>
        <v>ดี</v>
      </c>
      <c r="N23" s="41"/>
      <c r="O23" s="41"/>
    </row>
    <row r="24" spans="1:15" s="32" customFormat="1" ht="40.5" customHeight="1">
      <c r="A24" s="30"/>
      <c r="B24" s="26" t="s">
        <v>719</v>
      </c>
      <c r="C24" s="31"/>
      <c r="D24" s="242">
        <v>13</v>
      </c>
      <c r="E24" s="243">
        <v>7</v>
      </c>
      <c r="F24" s="557">
        <f>IF(COUNT(D24,E24)=2,ROUND(E24/D24*100,2),"Auto-calculate")</f>
        <v>53.85</v>
      </c>
      <c r="G24" s="242">
        <v>8</v>
      </c>
      <c r="H24" s="243">
        <v>3</v>
      </c>
      <c r="I24" s="557">
        <f>IF(COUNT(G24,H24)=2,ROUND(H24/G24*100,2),"Auto-calculate")</f>
        <v>37.5</v>
      </c>
      <c r="J24" s="540"/>
      <c r="K24" s="559"/>
      <c r="L24" s="561"/>
      <c r="M24" s="255"/>
      <c r="N24" s="42"/>
      <c r="O24" s="42"/>
    </row>
    <row r="25" spans="1:15" s="32" customFormat="1" ht="60.75">
      <c r="A25" s="30"/>
      <c r="B25" s="26" t="s">
        <v>720</v>
      </c>
      <c r="C25" s="31"/>
      <c r="D25" s="242"/>
      <c r="E25" s="243"/>
      <c r="F25" s="557" t="str">
        <f>IF(COUNT(D25,E25)=2,ROUND(E25/D25*100,2),"Auto-calculate")</f>
        <v>Auto-calculate</v>
      </c>
      <c r="G25" s="242"/>
      <c r="H25" s="243"/>
      <c r="I25" s="557" t="str">
        <f>IF(COUNT(G25,H25)=2,ROUND(H25/G25*100,2),"Auto-calculate")</f>
        <v>Auto-calculate</v>
      </c>
      <c r="J25" s="562"/>
      <c r="K25" s="563"/>
      <c r="L25" s="561"/>
      <c r="M25" s="255"/>
      <c r="N25" s="42"/>
      <c r="O25" s="42"/>
    </row>
    <row r="26" spans="1:15" s="32" customFormat="1" ht="61.5" thickBot="1">
      <c r="A26" s="33"/>
      <c r="B26" s="35" t="s">
        <v>721</v>
      </c>
      <c r="C26" s="34"/>
      <c r="D26" s="244"/>
      <c r="E26" s="245"/>
      <c r="F26" s="609" t="str">
        <f>IF(COUNT(D26,E26)=2,ROUND(E26/D26*100,2),"Auto-calculate")</f>
        <v>Auto-calculate</v>
      </c>
      <c r="G26" s="244"/>
      <c r="H26" s="245"/>
      <c r="I26" s="609" t="str">
        <f>IF(COUNT(G26,H26)=2,ROUND(H26/G26*100,2),"Auto-calculate")</f>
        <v>Auto-calculate</v>
      </c>
      <c r="J26" s="564"/>
      <c r="K26" s="565"/>
      <c r="L26" s="566"/>
      <c r="M26" s="261"/>
      <c r="N26" s="42"/>
      <c r="O26" s="42"/>
    </row>
    <row r="27" spans="1:15" s="19" customFormat="1" ht="40.5">
      <c r="A27" s="12">
        <v>5.5</v>
      </c>
      <c r="B27" s="13" t="s">
        <v>793</v>
      </c>
      <c r="C27" s="14">
        <v>2.5</v>
      </c>
      <c r="D27" s="240"/>
      <c r="E27" s="241"/>
      <c r="F27" s="159" t="str">
        <f>IF(ISERROR(AVERAGE(F28:F30)),"Auto-calculate",ROUND(AVERAGE(F28:F30),2))</f>
        <v>Auto-calculate</v>
      </c>
      <c r="G27" s="240"/>
      <c r="H27" s="241"/>
      <c r="I27" s="159" t="str">
        <f>IF(ISERROR(AVERAGE(I28:I30)),"Auto-calculate",ROUND(AVERAGE(I28:I30),2))</f>
        <v>Auto-calculate</v>
      </c>
      <c r="J27" s="540" t="str">
        <f>IF((F27="Auto-calculate"),"Auto-calculate",ROUND(F27*2/100,2))</f>
        <v>Auto-calculate</v>
      </c>
      <c r="K27" s="559" t="str">
        <f>IF(COUNTIF(I27:I27,"Auto-calculate")&gt;0,"Auto-calculate",IF(OR(AND((I27&gt;=80),(F27&gt;=80)),(F27&gt;I27)),0.5,IF(AND((I27=F27),(I27&gt;0),(F27&gt;0)),0.25,IF(OR((F27&lt;I27),AND((I27=0),(F27=0))),0,"Adkfdl"))))</f>
        <v>Auto-calculate</v>
      </c>
      <c r="L27" s="560" t="str">
        <f>IF(SUM(COUNTIF(J27,"Auto-calculate"),COUNTIF(K27,"Auto-calculate"))&lt;COUNTA(J27,K27),SUM(J27,K27),"Auto-calculate")</f>
        <v>Auto-calculate</v>
      </c>
      <c r="M27" s="253" t="str">
        <f>IF((L27="Auto-calculate"),"Auto-calculate",IF((L27&gt;=2),"ดีมาก",IF((L27&gt;=1.5),"ดี",IF((L27&gt;=1),"พอใช้",IF((L27&gt;=0.5),"ต้องปรับปรุง",IF((L27&gt;=0),"ต้องปรับปรุงเร่งด่วน","Auto-calculate"))))))</f>
        <v>Auto-calculate</v>
      </c>
      <c r="N27" s="41"/>
      <c r="O27" s="41"/>
    </row>
    <row r="28" spans="1:15" s="32" customFormat="1" ht="40.5" customHeight="1">
      <c r="A28" s="30"/>
      <c r="B28" s="26" t="s">
        <v>722</v>
      </c>
      <c r="C28" s="31"/>
      <c r="D28" s="242"/>
      <c r="E28" s="243"/>
      <c r="F28" s="557" t="str">
        <f>IF(COUNT(D28,E28)=2,ROUND(E28/D28*100,2),"Auto-calculate")</f>
        <v>Auto-calculate</v>
      </c>
      <c r="G28" s="242"/>
      <c r="H28" s="243"/>
      <c r="I28" s="557" t="str">
        <f>IF(COUNT(G28,H28)=2,ROUND(H28/G28*100,2),"Auto-calculate")</f>
        <v>Auto-calculate</v>
      </c>
      <c r="J28" s="540"/>
      <c r="K28" s="559"/>
      <c r="L28" s="561"/>
      <c r="M28" s="255"/>
      <c r="N28" s="42"/>
      <c r="O28" s="42"/>
    </row>
    <row r="29" spans="1:15" s="32" customFormat="1" ht="60.75">
      <c r="A29" s="30"/>
      <c r="B29" s="26" t="s">
        <v>723</v>
      </c>
      <c r="C29" s="31"/>
      <c r="D29" s="242"/>
      <c r="E29" s="243"/>
      <c r="F29" s="557" t="str">
        <f>IF(COUNT(D29,E29)=2,ROUND(E29/D29*100,2),"Auto-calculate")</f>
        <v>Auto-calculate</v>
      </c>
      <c r="G29" s="242"/>
      <c r="H29" s="243"/>
      <c r="I29" s="557" t="str">
        <f>IF(COUNT(G29,H29)=2,ROUND(H29/G29*100,2),"Auto-calculate")</f>
        <v>Auto-calculate</v>
      </c>
      <c r="J29" s="562"/>
      <c r="K29" s="563"/>
      <c r="L29" s="561"/>
      <c r="M29" s="255"/>
      <c r="N29" s="42"/>
      <c r="O29" s="42"/>
    </row>
    <row r="30" spans="1:15" s="32" customFormat="1" ht="61.5" thickBot="1">
      <c r="A30" s="33"/>
      <c r="B30" s="35" t="s">
        <v>725</v>
      </c>
      <c r="C30" s="34"/>
      <c r="D30" s="244"/>
      <c r="E30" s="245"/>
      <c r="F30" s="609" t="str">
        <f>IF(COUNT(D30,E30)=2,ROUND(E30/D30*100,2),"Auto-calculate")</f>
        <v>Auto-calculate</v>
      </c>
      <c r="G30" s="244"/>
      <c r="H30" s="245"/>
      <c r="I30" s="609" t="str">
        <f>IF(COUNT(G30,H30)=2,ROUND(H30/G30*100,2),"Auto-calculate")</f>
        <v>Auto-calculate</v>
      </c>
      <c r="J30" s="564"/>
      <c r="K30" s="565"/>
      <c r="L30" s="566"/>
      <c r="M30" s="261"/>
      <c r="N30" s="42"/>
      <c r="O30" s="42"/>
    </row>
    <row r="31" spans="1:15" s="19" customFormat="1" ht="40.5">
      <c r="A31" s="12">
        <v>5.6</v>
      </c>
      <c r="B31" s="13" t="s">
        <v>794</v>
      </c>
      <c r="C31" s="14">
        <v>2.5</v>
      </c>
      <c r="D31" s="240"/>
      <c r="E31" s="241"/>
      <c r="F31" s="159">
        <f>IF(ISERROR(AVERAGE(F32:F34)),"Auto-calculate",ROUND(AVERAGE(F32:F34),2))</f>
        <v>46.15</v>
      </c>
      <c r="G31" s="240"/>
      <c r="H31" s="241"/>
      <c r="I31" s="159">
        <f>IF(ISERROR(AVERAGE(I32:I34)),"Auto-calculate",ROUND(AVERAGE(I32:I34),2))</f>
        <v>50</v>
      </c>
      <c r="J31" s="540">
        <f>IF((F31="Auto-calculate"),"Auto-calculate",ROUND(F31*2/100,2))</f>
        <v>0.92</v>
      </c>
      <c r="K31" s="559">
        <f>IF(COUNTIF(I31:I31,"Auto-calculate")&gt;0,"Auto-calculate",IF(OR(AND((I31&gt;=80),(F31&gt;=80)),(F31&gt;I31)),0.5,IF(AND((I31=F31),(I31&gt;0),(F31&gt;0)),0.25,IF(OR((F31&lt;I31),AND((I31=0),(F31=0))),0,"Adkfdl"))))</f>
        <v>0</v>
      </c>
      <c r="L31" s="560">
        <f>IF(SUM(COUNTIF(J31,"Auto-calculate"),COUNTIF(K31,"Auto-calculate"))&lt;COUNTA(J31,K31),SUM(J31,K31),"Auto-calculate")</f>
        <v>0.92</v>
      </c>
      <c r="M31" s="253" t="str">
        <f>IF((L31="Auto-calculate"),"Auto-calculate",IF((L31&gt;=2),"ดีมาก",IF((L31&gt;=1.5),"ดี",IF((L31&gt;=1),"พอใช้",IF((L31&gt;=0.5),"ต้องปรับปรุง",IF((L31&gt;=0),"ต้องปรับปรุงเร่งด่วน","Auto-calculate"))))))</f>
        <v>ต้องปรับปรุง</v>
      </c>
      <c r="N31" s="41"/>
      <c r="O31" s="41"/>
    </row>
    <row r="32" spans="1:15" s="32" customFormat="1" ht="40.5" customHeight="1">
      <c r="A32" s="30"/>
      <c r="B32" s="26" t="s">
        <v>726</v>
      </c>
      <c r="C32" s="31"/>
      <c r="D32" s="242">
        <v>13</v>
      </c>
      <c r="E32" s="243">
        <v>6</v>
      </c>
      <c r="F32" s="557">
        <f>IF(COUNT(D32,E32)=2,ROUND(E32/D32*100,2),"Auto-calculate")</f>
        <v>46.15</v>
      </c>
      <c r="G32" s="242">
        <v>8</v>
      </c>
      <c r="H32" s="243">
        <v>4</v>
      </c>
      <c r="I32" s="557">
        <f>IF(COUNT(G32,H32)=2,ROUND(H32/G32*100,2),"Auto-calculate")</f>
        <v>50</v>
      </c>
      <c r="J32" s="540"/>
      <c r="K32" s="559"/>
      <c r="L32" s="561"/>
      <c r="M32" s="255"/>
      <c r="N32" s="42"/>
      <c r="O32" s="42"/>
    </row>
    <row r="33" spans="1:15" s="32" customFormat="1" ht="40.5">
      <c r="A33" s="30"/>
      <c r="B33" s="26" t="s">
        <v>727</v>
      </c>
      <c r="C33" s="31"/>
      <c r="D33" s="242"/>
      <c r="E33" s="243"/>
      <c r="F33" s="557" t="str">
        <f>IF(COUNT(D33,E33)=2,ROUND(E33/D33*100,2),"Auto-calculate")</f>
        <v>Auto-calculate</v>
      </c>
      <c r="G33" s="242"/>
      <c r="H33" s="243"/>
      <c r="I33" s="557" t="str">
        <f>IF(COUNT(G33,H33)=2,ROUND(H33/G33*100,2),"Auto-calculate")</f>
        <v>Auto-calculate</v>
      </c>
      <c r="J33" s="562"/>
      <c r="K33" s="563"/>
      <c r="L33" s="561"/>
      <c r="M33" s="255"/>
      <c r="N33" s="42"/>
      <c r="O33" s="42"/>
    </row>
    <row r="34" spans="1:15" s="32" customFormat="1" ht="41.25" thickBot="1">
      <c r="A34" s="33"/>
      <c r="B34" s="35" t="s">
        <v>728</v>
      </c>
      <c r="C34" s="34"/>
      <c r="D34" s="244"/>
      <c r="E34" s="245"/>
      <c r="F34" s="609" t="str">
        <f>IF(COUNT(D34,E34)=2,ROUND(E34/D34*100,2),"Auto-calculate")</f>
        <v>Auto-calculate</v>
      </c>
      <c r="G34" s="244"/>
      <c r="H34" s="245"/>
      <c r="I34" s="609" t="str">
        <f>IF(COUNT(G34,H34)=2,ROUND(H34/G34*100,2),"Auto-calculate")</f>
        <v>Auto-calculate</v>
      </c>
      <c r="J34" s="564"/>
      <c r="K34" s="565"/>
      <c r="L34" s="566"/>
      <c r="M34" s="261"/>
      <c r="N34" s="42"/>
      <c r="O34" s="42"/>
    </row>
    <row r="35" spans="1:15" s="19" customFormat="1" ht="40.5">
      <c r="A35" s="12">
        <v>5.7</v>
      </c>
      <c r="B35" s="13" t="s">
        <v>795</v>
      </c>
      <c r="C35" s="14">
        <v>2.5</v>
      </c>
      <c r="D35" s="240"/>
      <c r="E35" s="241"/>
      <c r="F35" s="159" t="str">
        <f>IF(ISERROR(AVERAGE(F36:F38)),"Auto-calculate",ROUND(AVERAGE(F36:F38),2))</f>
        <v>Auto-calculate</v>
      </c>
      <c r="G35" s="240"/>
      <c r="H35" s="241"/>
      <c r="I35" s="159" t="str">
        <f>IF(ISERROR(AVERAGE(I36:I38)),"Auto-calculate",ROUND(AVERAGE(I36:I38),2))</f>
        <v>Auto-calculate</v>
      </c>
      <c r="J35" s="540" t="str">
        <f>IF((F35="Auto-calculate"),"Auto-calculate",ROUND(F35*2/100,2))</f>
        <v>Auto-calculate</v>
      </c>
      <c r="K35" s="559" t="str">
        <f>IF(COUNTIF(I35:I35,"Auto-calculate")&gt;0,"Auto-calculate",IF(OR(AND((I35&gt;=80),(F35&gt;=80)),(F35&gt;I35)),0.5,IF(AND((I35=F35),(I35&gt;0),(F35&gt;0)),0.25,IF(OR((F35&lt;I35),AND((I35=0),(F35=0))),0,"Adkfdl"))))</f>
        <v>Auto-calculate</v>
      </c>
      <c r="L35" s="560" t="str">
        <f>IF(SUM(COUNTIF(J35,"Auto-calculate"),COUNTIF(K35,"Auto-calculate"))&lt;COUNTA(J35,K35),SUM(J35,K35),"Auto-calculate")</f>
        <v>Auto-calculate</v>
      </c>
      <c r="M35" s="253" t="str">
        <f>IF((L35="Auto-calculate"),"Auto-calculate",IF((L35&gt;=2),"ดีมาก",IF((L35&gt;=1.5),"ดี",IF((L35&gt;=1),"พอใช้",IF((L35&gt;=0.5),"ต้องปรับปรุง",IF((L35&gt;=0),"ต้องปรับปรุงเร่งด่วน","Auto-calculate"))))))</f>
        <v>Auto-calculate</v>
      </c>
      <c r="N35" s="41"/>
      <c r="O35" s="41"/>
    </row>
    <row r="36" spans="1:15" s="32" customFormat="1" ht="40.5" customHeight="1">
      <c r="A36" s="30"/>
      <c r="B36" s="26" t="s">
        <v>729</v>
      </c>
      <c r="C36" s="31"/>
      <c r="D36" s="242"/>
      <c r="E36" s="243"/>
      <c r="F36" s="557" t="str">
        <f>IF(COUNT(D36,E36)=2,ROUND(E36/D36*100,2),"Auto-calculate")</f>
        <v>Auto-calculate</v>
      </c>
      <c r="G36" s="242"/>
      <c r="H36" s="243"/>
      <c r="I36" s="557" t="str">
        <f>IF(COUNT(G36,H36)=2,ROUND(H36/G36*100,2),"Auto-calculate")</f>
        <v>Auto-calculate</v>
      </c>
      <c r="J36" s="540"/>
      <c r="K36" s="559"/>
      <c r="L36" s="561"/>
      <c r="M36" s="255"/>
      <c r="N36" s="42"/>
      <c r="O36" s="42"/>
    </row>
    <row r="37" spans="1:15" s="32" customFormat="1" ht="60.75">
      <c r="A37" s="30"/>
      <c r="B37" s="26" t="s">
        <v>730</v>
      </c>
      <c r="C37" s="31"/>
      <c r="D37" s="242"/>
      <c r="E37" s="243"/>
      <c r="F37" s="557" t="str">
        <f>IF(COUNT(D37,E37)=2,ROUND(E37/D37*100,2),"Auto-calculate")</f>
        <v>Auto-calculate</v>
      </c>
      <c r="G37" s="242"/>
      <c r="H37" s="243"/>
      <c r="I37" s="557" t="str">
        <f>IF(COUNT(G37,H37)=2,ROUND(H37/G37*100,2),"Auto-calculate")</f>
        <v>Auto-calculate</v>
      </c>
      <c r="J37" s="562"/>
      <c r="K37" s="563"/>
      <c r="L37" s="561"/>
      <c r="M37" s="255"/>
      <c r="N37" s="42"/>
      <c r="O37" s="42"/>
    </row>
    <row r="38" spans="1:15" s="32" customFormat="1" ht="61.5" thickBot="1">
      <c r="A38" s="33"/>
      <c r="B38" s="35" t="s">
        <v>731</v>
      </c>
      <c r="C38" s="34"/>
      <c r="D38" s="244"/>
      <c r="E38" s="245"/>
      <c r="F38" s="609" t="str">
        <f>IF(COUNT(D38,E38)=2,ROUND(E38/D38*100,2),"Auto-calculate")</f>
        <v>Auto-calculate</v>
      </c>
      <c r="G38" s="244"/>
      <c r="H38" s="245"/>
      <c r="I38" s="609" t="str">
        <f>IF(COUNT(G38,H38)=2,ROUND(H38/G38*100,2),"Auto-calculate")</f>
        <v>Auto-calculate</v>
      </c>
      <c r="J38" s="564"/>
      <c r="K38" s="565"/>
      <c r="L38" s="566"/>
      <c r="M38" s="261"/>
      <c r="N38" s="42"/>
      <c r="O38" s="42"/>
    </row>
    <row r="39" spans="1:15" s="19" customFormat="1" ht="40.5">
      <c r="A39" s="12">
        <v>5.8</v>
      </c>
      <c r="B39" s="13" t="s">
        <v>735</v>
      </c>
      <c r="C39" s="14">
        <v>2.5</v>
      </c>
      <c r="D39" s="240"/>
      <c r="E39" s="241"/>
      <c r="F39" s="159" t="str">
        <f>IF(ISERROR(AVERAGE(F40:F42)),"Auto-calculate",ROUND(AVERAGE(F40:F42),2))</f>
        <v>Auto-calculate</v>
      </c>
      <c r="G39" s="240"/>
      <c r="H39" s="241"/>
      <c r="I39" s="159" t="str">
        <f>IF(ISERROR(AVERAGE(I40:I42)),"Auto-calculate",ROUND(AVERAGE(I40:I42),2))</f>
        <v>Auto-calculate</v>
      </c>
      <c r="J39" s="540" t="str">
        <f>IF((F39="Auto-calculate"),"Auto-calculate",ROUND(F39*2/100,2))</f>
        <v>Auto-calculate</v>
      </c>
      <c r="K39" s="559" t="str">
        <f>IF(COUNTIF(I39:I39,"Auto-calculate")&gt;0,"Auto-calculate",IF(OR(AND((I39&gt;=80),(F39&gt;=80)),(F39&gt;I39)),0.5,IF(AND((I39=F39),(I39&gt;0),(F39&gt;0)),0.25,IF(OR((F39&lt;I39),AND((I39=0),(F39=0))),0,"Adkfdl"))))</f>
        <v>Auto-calculate</v>
      </c>
      <c r="L39" s="560" t="str">
        <f>IF(SUM(COUNTIF(J39,"Auto-calculate"),COUNTIF(K39,"Auto-calculate"))&lt;COUNTA(J39,K39),SUM(J39,K39),"Auto-calculate")</f>
        <v>Auto-calculate</v>
      </c>
      <c r="M39" s="253" t="str">
        <f>IF((L39="Auto-calculate"),"Auto-calculate",IF((L39&gt;=2),"ดีมาก",IF((L39&gt;=1.5),"ดี",IF((L39&gt;=1),"พอใช้",IF((L39&gt;=0.5),"ต้องปรับปรุง",IF((L39&gt;=0),"ต้องปรับปรุงเร่งด่วน","Auto-calculate"))))))</f>
        <v>Auto-calculate</v>
      </c>
      <c r="N39" s="41"/>
      <c r="O39" s="41"/>
    </row>
    <row r="40" spans="1:15" s="32" customFormat="1" ht="40.5" customHeight="1">
      <c r="A40" s="30"/>
      <c r="B40" s="26" t="s">
        <v>732</v>
      </c>
      <c r="C40" s="31"/>
      <c r="D40" s="242"/>
      <c r="E40" s="243"/>
      <c r="F40" s="557" t="str">
        <f>IF(COUNT(D40,E40)=2,ROUND(E40/D40*100,2),"Auto-calculate")</f>
        <v>Auto-calculate</v>
      </c>
      <c r="G40" s="242"/>
      <c r="H40" s="243"/>
      <c r="I40" s="557" t="str">
        <f>IF(COUNT(G40,H40)=2,ROUND(H40/G40*100,2),"Auto-calculate")</f>
        <v>Auto-calculate</v>
      </c>
      <c r="J40" s="540"/>
      <c r="K40" s="559"/>
      <c r="L40" s="561"/>
      <c r="M40" s="255"/>
      <c r="N40" s="42"/>
      <c r="O40" s="42"/>
    </row>
    <row r="41" spans="1:15" s="32" customFormat="1" ht="60.75">
      <c r="A41" s="30"/>
      <c r="B41" s="26" t="s">
        <v>733</v>
      </c>
      <c r="C41" s="31"/>
      <c r="D41" s="242"/>
      <c r="E41" s="243"/>
      <c r="F41" s="557" t="str">
        <f>IF(COUNT(D41,E41)=2,ROUND(E41/D41*100,2),"Auto-calculate")</f>
        <v>Auto-calculate</v>
      </c>
      <c r="G41" s="242"/>
      <c r="H41" s="243"/>
      <c r="I41" s="557" t="str">
        <f>IF(COUNT(G41,H41)=2,ROUND(H41/G41*100,2),"Auto-calculate")</f>
        <v>Auto-calculate</v>
      </c>
      <c r="J41" s="562"/>
      <c r="K41" s="563"/>
      <c r="L41" s="561"/>
      <c r="M41" s="255"/>
      <c r="N41" s="42"/>
      <c r="O41" s="42"/>
    </row>
    <row r="42" spans="1:15" s="32" customFormat="1" ht="61.5" thickBot="1">
      <c r="A42" s="33"/>
      <c r="B42" s="35" t="s">
        <v>734</v>
      </c>
      <c r="C42" s="34"/>
      <c r="D42" s="244"/>
      <c r="E42" s="245"/>
      <c r="F42" s="609" t="str">
        <f>IF(COUNT(D42,E42)=2,ROUND(E42/D42*100,2),"Auto-calculate")</f>
        <v>Auto-calculate</v>
      </c>
      <c r="G42" s="244"/>
      <c r="H42" s="245"/>
      <c r="I42" s="609" t="str">
        <f>IF(COUNT(G42,H42)=2,ROUND(H42/G42*100,2),"Auto-calculate")</f>
        <v>Auto-calculate</v>
      </c>
      <c r="J42" s="564"/>
      <c r="K42" s="565"/>
      <c r="L42" s="566"/>
      <c r="M42" s="261"/>
      <c r="N42" s="42"/>
      <c r="O42" s="42"/>
    </row>
  </sheetData>
  <sheetProtection password="D502" sheet="1" objects="1" scenarios="1"/>
  <protectedRanges>
    <protectedRange sqref="D12:E14 G12:H14 D16:E18 G16:H18 D20:E22 G20:H22 D24:E26 G24:H26 D28:E30 G28:H30 D32:E34 G32:H34 D36:E38 G36:H38 D40:E42 G40:H42" name="ตบช.5"/>
  </protectedRanges>
  <mergeCells count="6">
    <mergeCell ref="A8:A9"/>
    <mergeCell ref="J8:L8"/>
    <mergeCell ref="D8:F8"/>
    <mergeCell ref="G8:I8"/>
    <mergeCell ref="C8:C9"/>
    <mergeCell ref="B8:B9"/>
  </mergeCells>
  <conditionalFormatting sqref="D12:E14 D16:E18 D20:E22 D24:E26 D28:E30 D32:E34 D36:E38 D40:E42 G12:H14 G16:H18 G20:H22 G24:H26 G28:H30 G32:H34 G36:H38 G40:H42 B5:B7">
    <cfRule type="expression" priority="1" dxfId="0" stopIfTrue="1">
      <formula>B5&lt;&gt;""</formula>
    </cfRule>
  </conditionalFormatting>
  <conditionalFormatting sqref="I40:I42 F16:F18 F20:F22 F24:F26 F28:F30 F32:F34 F36:F38 F40:F42 I12:I14 I16:I18 I20:I22 I24:I26 I28:I30 I32:I34 I36:I38 F12:F14">
    <cfRule type="expression" priority="2" dxfId="7" stopIfTrue="1">
      <formula>AND((D12&lt;&gt;""),(E12&lt;&gt;""),((E12/D12)&gt;1))</formula>
    </cfRule>
    <cfRule type="expression" priority="3" dxfId="0" stopIfTrue="1">
      <formula>F12&lt;&gt;"Auto-Calculate"</formula>
    </cfRule>
  </conditionalFormatting>
  <dataValidations count="4">
    <dataValidation type="whole" operator="greaterThan" allowBlank="1" showInputMessage="1" showErrorMessage="1" errorTitle="ค่าที่คุณป้อนไม่ถูกต้อง" error="จำนวนผู้เรียนทั้งหมดต้องเป็นเลขจำนวนเต็ม &gt; 0 เท่านั้น" sqref="E10:E11 H10:H11">
      <formula1>0</formula1>
    </dataValidation>
    <dataValidation type="whole" operator="greaterThanOrEqual" allowBlank="1" showInputMessage="1" showErrorMessage="1" errorTitle="ค่าที่คุณป้อนไม่ถูกต้อง" error="โปรดตรวจสอบข้อมูล จำนวนผู้เรียนที่เป็นไปตามเกณฑ์ ต้องเป็นจำนวนเต็ม &gt;=0 เท่านั้น" sqref="D10:D11 G10:G11">
      <formula1>0</formula1>
    </dataValidation>
    <dataValidation type="whole" operator="greaterThan" allowBlank="1" showInputMessage="1" showErrorMessage="1" errorTitle="ค่าที่คุณป้อนไม่ถูกต้อง" error="จำนวนผู้เข้าสอบต้องเป็นจำนวนเต็ม &gt;0 (กรณีไม่มีผู้เข้าสอบไม่ต้องป้อนค่าใดลงในเซลล์)" sqref="D12:D42 G12:G42">
      <formula1>0</formula1>
    </dataValidation>
    <dataValidation type="whole" operator="greaterThanOrEqual" allowBlank="1" showInputMessage="1" showErrorMessage="1" errorTitle="ค่าที่คุณป้อนไม่ถูกต้อง" error="จำนวนผู้เรียนที่มีผลการทดสอบระดับดีต้องเป็นจำนวนเต็ม &gt;=0" sqref="E12:E42 H12:H42">
      <formula1>0</formula1>
    </dataValidation>
  </dataValidations>
  <printOptions/>
  <pageMargins left="1.03" right="0.34" top="0.17" bottom="0.16" header="0.17" footer="0.16"/>
  <pageSetup horizontalDpi="300" verticalDpi="300" orientation="landscape" paperSize="9" scale="69" r:id="rId1"/>
  <headerFooter alignWithMargins="0">
    <oddFooter>&amp;L&amp;7&amp;Z&amp;F&amp;R&amp;"BrowalliaUPC,ธรรมดา"&amp;14รับรองข้อมูลถูกต้อง     
..........................................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1"/>
  </sheetPr>
  <dimension ref="A1:H99"/>
  <sheetViews>
    <sheetView showGridLines="0" zoomScale="70" zoomScaleNormal="70" zoomScaleSheetLayoutView="70" zoomScalePageLayoutView="0" workbookViewId="0" topLeftCell="A1">
      <selection activeCell="D11" sqref="D11"/>
    </sheetView>
  </sheetViews>
  <sheetFormatPr defaultColWidth="9.00390625" defaultRowHeight="14.25"/>
  <cols>
    <col min="1" max="1" width="11.375" style="1" customWidth="1"/>
    <col min="2" max="2" width="48.75390625" style="1" customWidth="1"/>
    <col min="3" max="3" width="11.00390625" style="1" customWidth="1"/>
    <col min="4" max="4" width="13.625" style="2" customWidth="1"/>
    <col min="5" max="5" width="12.25390625" style="1" customWidth="1"/>
    <col min="6" max="6" width="16.25390625" style="44" customWidth="1"/>
    <col min="7" max="7" width="1.875" style="39" customWidth="1"/>
    <col min="8" max="8" width="9.00390625" style="39" customWidth="1"/>
    <col min="9" max="16384" width="9.00390625" style="1" customWidth="1"/>
  </cols>
  <sheetData>
    <row r="1" spans="1:8" ht="26.25">
      <c r="A1" s="27" t="s">
        <v>71</v>
      </c>
      <c r="C1" s="80"/>
      <c r="D1" s="81"/>
      <c r="E1" s="83"/>
      <c r="F1" s="83"/>
      <c r="H1" s="92"/>
    </row>
    <row r="2" spans="1:8" ht="26.25">
      <c r="A2" s="27" t="s">
        <v>764</v>
      </c>
      <c r="C2" s="80"/>
      <c r="D2" s="81"/>
      <c r="E2" s="83"/>
      <c r="F2" s="83"/>
      <c r="H2" s="92"/>
    </row>
    <row r="3" spans="1:8" ht="21">
      <c r="A3" s="84" t="s">
        <v>70</v>
      </c>
      <c r="C3" s="80"/>
      <c r="D3" s="81"/>
      <c r="E3" s="83"/>
      <c r="F3" s="83"/>
      <c r="H3" s="92"/>
    </row>
    <row r="4" spans="3:8" ht="10.5" customHeight="1" thickBot="1">
      <c r="C4" s="80"/>
      <c r="D4" s="81"/>
      <c r="E4" s="83"/>
      <c r="F4" s="83"/>
      <c r="H4" s="92"/>
    </row>
    <row r="5" spans="1:8" s="85" customFormat="1" ht="30" customHeight="1" thickBot="1">
      <c r="A5" s="86" t="s">
        <v>638</v>
      </c>
      <c r="B5" s="87">
        <f>IF(('EntryData-ข้อมูล1'!C10&lt;&gt;""),'EntryData-ข้อมูล1'!C10,"")</f>
      </c>
      <c r="C5" s="88" t="s">
        <v>642</v>
      </c>
      <c r="E5" s="82"/>
      <c r="F5" s="82"/>
      <c r="H5" s="93"/>
    </row>
    <row r="6" spans="1:8" s="85" customFormat="1" ht="30" customHeight="1" thickBot="1">
      <c r="A6" s="86" t="s">
        <v>639</v>
      </c>
      <c r="B6" s="87">
        <f>IF(('EntryData-ข้อมูล1'!C11&lt;&gt;""),'EntryData-ข้อมูล1'!C11,"")</f>
      </c>
      <c r="D6" s="81"/>
      <c r="E6" s="82"/>
      <c r="F6" s="82"/>
      <c r="H6" s="93"/>
    </row>
    <row r="7" ht="10.5" customHeight="1" thickBot="1"/>
    <row r="8" spans="1:7" ht="42.75" thickBot="1">
      <c r="A8" s="183" t="s">
        <v>798</v>
      </c>
      <c r="B8" s="20" t="s">
        <v>799</v>
      </c>
      <c r="C8" s="100" t="s">
        <v>800</v>
      </c>
      <c r="D8" s="172" t="s">
        <v>768</v>
      </c>
      <c r="E8" s="237" t="s">
        <v>813</v>
      </c>
      <c r="F8" s="160" t="s">
        <v>697</v>
      </c>
      <c r="G8" s="40"/>
    </row>
    <row r="9" spans="1:8" s="19" customFormat="1" ht="21">
      <c r="A9" s="184" t="s">
        <v>889</v>
      </c>
      <c r="B9" s="190" t="s">
        <v>866</v>
      </c>
      <c r="C9" s="28">
        <v>10</v>
      </c>
      <c r="D9" s="173"/>
      <c r="E9" s="180" t="str">
        <f>IF(OR(ISERROR(SUM(E10,E16)="True"),(COUNT(E10,E16)=0)),"Auto-calculate",SUM(E10,E16))</f>
        <v>Auto-calculate</v>
      </c>
      <c r="F9" s="181" t="str">
        <f>IF(OR((ISERROR(E9)="True"),(E9="Auto-calculate")),"Auto-calculate",IF((E9&gt;=9),"ดีมาก",IF((E9&gt;=7.5),"ดี",IF((E9&gt;=6),"พอใช้",IF((E9&gt;=5),"ต้องปรับปรุง",IF((E9&gt;=0),"ต้องปรับปรุงเร่งด่วน"))))))</f>
        <v>Auto-calculate</v>
      </c>
      <c r="G9" s="41"/>
      <c r="H9" s="94"/>
    </row>
    <row r="10" spans="1:8" s="19" customFormat="1" ht="20.25">
      <c r="A10" s="185">
        <v>6.1</v>
      </c>
      <c r="B10" s="191" t="s">
        <v>867</v>
      </c>
      <c r="C10" s="14">
        <v>5</v>
      </c>
      <c r="D10" s="174" t="str">
        <f>IF(OR((ISERROR(SUM(D11:D15))="True"),(COUNT(D11:D15)=0)),"Auto-calculate",SUM(D11:D15))</f>
        <v>Auto-calculate</v>
      </c>
      <c r="E10" s="167" t="str">
        <f>IF(OR(ISERROR(SUM(D11:D15)="True"),(D10="Auto-calculate")),"Auto-calculate",D10)</f>
        <v>Auto-calculate</v>
      </c>
      <c r="F10" s="161" t="str">
        <f>IF(OR((ISERROR(E10)="True"),(E10="Auto-calculate")),"Auto-calculate",IF((E10=5),"ดีมาก",IF((E10=4),"ดี",IF((E10=3),"พอใช้",IF((E10=2),"ต้องปรับปรุง",IF((E10&lt;=1),"ต้องปรับปรุงเร่งด่วน"))))))</f>
        <v>Auto-calculate</v>
      </c>
      <c r="G10" s="43"/>
      <c r="H10" s="38">
        <f>IF(OR((E10="Auto-Calculate"),(COUNT(D11:D15)&lt;5)),"",VLOOKUP(E10,'เกณฑ์ประเมิน-ประถม&amp;มัธยม'!B2:C7,2,0))</f>
      </c>
    </row>
    <row r="11" spans="1:8" s="9" customFormat="1" ht="40.5">
      <c r="A11" s="186"/>
      <c r="B11" s="192" t="s">
        <v>868</v>
      </c>
      <c r="C11" s="10"/>
      <c r="D11" s="175"/>
      <c r="E11" s="168"/>
      <c r="F11" s="162"/>
      <c r="G11" s="41"/>
      <c r="H11" s="45"/>
    </row>
    <row r="12" spans="1:8" s="9" customFormat="1" ht="40.5">
      <c r="A12" s="186"/>
      <c r="B12" s="192" t="s">
        <v>869</v>
      </c>
      <c r="C12" s="10"/>
      <c r="D12" s="175"/>
      <c r="E12" s="168"/>
      <c r="F12" s="162"/>
      <c r="G12" s="41"/>
      <c r="H12" s="45"/>
    </row>
    <row r="13" spans="1:8" s="9" customFormat="1" ht="40.5">
      <c r="A13" s="186"/>
      <c r="B13" s="192" t="s">
        <v>870</v>
      </c>
      <c r="C13" s="10"/>
      <c r="D13" s="175"/>
      <c r="E13" s="168"/>
      <c r="F13" s="162"/>
      <c r="G13" s="41"/>
      <c r="H13" s="45"/>
    </row>
    <row r="14" spans="1:8" s="9" customFormat="1" ht="40.5">
      <c r="A14" s="186"/>
      <c r="B14" s="192" t="s">
        <v>871</v>
      </c>
      <c r="C14" s="10"/>
      <c r="D14" s="175"/>
      <c r="E14" s="168"/>
      <c r="F14" s="162"/>
      <c r="G14" s="41"/>
      <c r="H14" s="45"/>
    </row>
    <row r="15" spans="1:8" s="9" customFormat="1" ht="41.25" thickBot="1">
      <c r="A15" s="186"/>
      <c r="B15" s="193" t="s">
        <v>872</v>
      </c>
      <c r="C15" s="11"/>
      <c r="D15" s="176"/>
      <c r="E15" s="169"/>
      <c r="F15" s="163"/>
      <c r="G15" s="41"/>
      <c r="H15" s="45"/>
    </row>
    <row r="16" spans="1:8" s="19" customFormat="1" ht="20.25">
      <c r="A16" s="187">
        <v>6.2</v>
      </c>
      <c r="B16" s="194" t="s">
        <v>873</v>
      </c>
      <c r="C16" s="18">
        <v>5</v>
      </c>
      <c r="D16" s="178" t="str">
        <f>IF(AND((COUNT(D17:D18)=2),(D17=0),(D18=0)),0,IF(COUNT(D17,D18)=2,ROUND(D17/D18*100,2),"Auto-calculate"))</f>
        <v>Auto-calculate</v>
      </c>
      <c r="E16" s="179" t="str">
        <f>IF(OR((ISERROR(D16)="True"),(D16="Auto-calculate")),"Auto-calculate",IF((D16&gt;=90),5,IF((D16&gt;=75),4,IF((D16&gt;=60),3,IF((D16&gt;=50),2,IF((D16&gt;=0),1))))))</f>
        <v>Auto-calculate</v>
      </c>
      <c r="F16" s="164" t="str">
        <f>IF(OR((ISERROR(E16)="True"),(E16="Auto-calculate")),"Auto-calculate",IF((E16=5),"ดีมาก",IF((E16=4),"ดี",IF((E16=3),"พอใช้",IF((E16=2),"ต้องปรับปรุง",IF((E16&lt;=1),"ต้องปรับปรุงเร่งด่วน"))))))</f>
        <v>Auto-calculate</v>
      </c>
      <c r="G16" s="41"/>
      <c r="H16" s="38">
        <f>IF(OR((E16="Auto-Calculate"),(COUNT(D17:D18)&lt;2)),"",VLOOKUP(E16,'เกณฑ์ประเมิน-ประถม&amp;มัธยม'!B10:C14,2,0))</f>
      </c>
    </row>
    <row r="17" spans="1:8" s="9" customFormat="1" ht="20.25">
      <c r="A17" s="186"/>
      <c r="B17" s="192" t="s">
        <v>874</v>
      </c>
      <c r="C17" s="10"/>
      <c r="D17" s="175"/>
      <c r="E17" s="168"/>
      <c r="F17" s="162"/>
      <c r="G17" s="41"/>
      <c r="H17" s="45"/>
    </row>
    <row r="18" spans="1:8" s="9" customFormat="1" ht="21" thickBot="1">
      <c r="A18" s="186"/>
      <c r="B18" s="193" t="s">
        <v>875</v>
      </c>
      <c r="C18" s="11"/>
      <c r="D18" s="176" t="str">
        <f>IF(COUNT('EntryData-ข้อมูล1'!C33,'EntryData-ข้อมูล1'!C34)=0,"Auto-calculate",SUM('EntryData-ข้อมูล1'!C33:C34))</f>
        <v>Auto-calculate</v>
      </c>
      <c r="E18" s="169"/>
      <c r="F18" s="163"/>
      <c r="G18" s="41"/>
      <c r="H18" s="582" t="s">
        <v>762</v>
      </c>
    </row>
    <row r="19" spans="1:8" s="19" customFormat="1" ht="21">
      <c r="A19" s="184" t="s">
        <v>890</v>
      </c>
      <c r="B19" s="190" t="s">
        <v>876</v>
      </c>
      <c r="C19" s="209">
        <f>SUM(C20,C45,C60)</f>
        <v>5</v>
      </c>
      <c r="D19" s="203"/>
      <c r="E19" s="180" t="str">
        <f>IF(OR(ISERROR(SUM(E20,E45,E60)="True"),(COUNT(E20,E45,E60)=0)),"Auto-calculate",SUM(E20,E45,E60))</f>
        <v>Auto-calculate</v>
      </c>
      <c r="F19" s="181" t="str">
        <f>IF(OR((ISERROR(E19)="True"),(E19="Auto-calculate")),"Auto-calculate",IF((E19&gt;=4.5),"ดีมาก",IF((E19&gt;=3.75),"ดี",IF((E19&gt;=3),"พอใช้",IF((E19&gt;=2.5),"ต้องปรับปรุง",IF((E19&gt;=0),"ต้องปรับปรุงเร่งด่วน"))))))</f>
        <v>Auto-calculate</v>
      </c>
      <c r="G19" s="41"/>
      <c r="H19" s="38"/>
    </row>
    <row r="20" spans="1:8" s="9" customFormat="1" ht="41.25" thickBot="1">
      <c r="A20" s="186"/>
      <c r="B20" s="195" t="s">
        <v>877</v>
      </c>
      <c r="C20" s="208">
        <v>2</v>
      </c>
      <c r="D20" s="614" t="str">
        <f>IF(OR((ISERROR(COUNTIF(F21:F39,"ดีมาก"))="True"),(COUNTIF(F21:F39,"Auto-calculate")=4)),"Auto-calculate",COUNTIF(F21:F39,"ดีมาก"))</f>
        <v>Auto-calculate</v>
      </c>
      <c r="E20" s="204" t="str">
        <f>IF(OR((ISERROR(D20)="True"),(D20="Auto-calculate")),"Auto-calculate",IF((D20=4),2,IF((D20=3),1.5,IF((D20=2),1,IF((D20=1),0.5,IF((D20=0),0,0))))))</f>
        <v>Auto-calculate</v>
      </c>
      <c r="F20" s="205"/>
      <c r="G20" s="41"/>
      <c r="H20" s="38">
        <f>IF(OR((E20="Auto-Calculate"),(COUNT(D21,D27,D33,D39)&lt;4)),"",VLOOKUP(E20,'เกณฑ์ประเมิน-ประถม&amp;มัธยม'!B17:C21,2,0))</f>
      </c>
    </row>
    <row r="21" spans="1:8" s="9" customFormat="1" ht="20.25">
      <c r="A21" s="186"/>
      <c r="B21" s="196" t="s">
        <v>879</v>
      </c>
      <c r="C21" s="206"/>
      <c r="D21" s="214" t="str">
        <f>IF(OR((ISERROR(SUM(D22:D26))="True"),(COUNT(D22:D26)=0)),"Auto-calculate",SUM(D22:D26))</f>
        <v>Auto-calculate</v>
      </c>
      <c r="E21" s="202"/>
      <c r="F21" s="613" t="str">
        <f>IF(OR((ISERROR(D21)="True"),(D21="Auto-calculate")),"Auto-calculate",IF((D21=5),"ดีมาก",IF((D21=4),"ดี",IF((D21=3),"พอใช้",IF((D21=2),"ต้องปรับปรุง",IF((D21&gt;=0),"ต้องปรับปรุงเร่งด่วน"))))))</f>
        <v>Auto-calculate</v>
      </c>
      <c r="G21" s="41"/>
      <c r="H21" s="38"/>
    </row>
    <row r="22" spans="1:8" s="9" customFormat="1" ht="60.75">
      <c r="A22" s="186"/>
      <c r="B22" s="616" t="s">
        <v>904</v>
      </c>
      <c r="C22" s="29"/>
      <c r="D22" s="175"/>
      <c r="E22" s="168"/>
      <c r="F22" s="162"/>
      <c r="G22" s="41"/>
      <c r="H22" s="45"/>
    </row>
    <row r="23" spans="1:8" s="9" customFormat="1" ht="81">
      <c r="A23" s="186"/>
      <c r="B23" s="616" t="s">
        <v>905</v>
      </c>
      <c r="C23" s="29"/>
      <c r="D23" s="175"/>
      <c r="E23" s="168"/>
      <c r="F23" s="162"/>
      <c r="G23" s="41"/>
      <c r="H23" s="45"/>
    </row>
    <row r="24" spans="1:8" s="9" customFormat="1" ht="60.75">
      <c r="A24" s="186"/>
      <c r="B24" s="618" t="s">
        <v>906</v>
      </c>
      <c r="C24" s="29"/>
      <c r="D24" s="175"/>
      <c r="E24" s="168"/>
      <c r="F24" s="162"/>
      <c r="G24" s="41"/>
      <c r="H24" s="45"/>
    </row>
    <row r="25" spans="1:8" s="9" customFormat="1" ht="60.75">
      <c r="A25" s="186"/>
      <c r="B25" s="618" t="s">
        <v>907</v>
      </c>
      <c r="C25" s="29"/>
      <c r="D25" s="175"/>
      <c r="E25" s="168"/>
      <c r="F25" s="162"/>
      <c r="G25" s="41"/>
      <c r="H25" s="45"/>
    </row>
    <row r="26" spans="1:8" s="9" customFormat="1" ht="102" thickBot="1">
      <c r="A26" s="186"/>
      <c r="B26" s="617" t="s">
        <v>926</v>
      </c>
      <c r="C26" s="29"/>
      <c r="D26" s="175"/>
      <c r="E26" s="168"/>
      <c r="F26" s="162"/>
      <c r="G26" s="41"/>
      <c r="H26" s="45"/>
    </row>
    <row r="27" spans="1:8" s="9" customFormat="1" ht="20.25">
      <c r="A27" s="186"/>
      <c r="B27" s="196" t="s">
        <v>878</v>
      </c>
      <c r="C27" s="206"/>
      <c r="D27" s="214" t="str">
        <f>IF(OR((ISERROR(SUM(D28:D32))="True"),(COUNT(D28:D32)=0)),"Auto-calculate",SUM(D28:D32))</f>
        <v>Auto-calculate</v>
      </c>
      <c r="E27" s="202"/>
      <c r="F27" s="613" t="str">
        <f>IF(OR((ISERROR(D27)="True"),(D27="Auto-calculate")),"Auto-calculate",IF((D27=5),"ดีมาก",IF((D27=4),"ดี",IF((D27=3),"พอใช้",IF((D27=2),"ต้องปรับปรุง",IF((D27&gt;=0),"ต้องปรับปรุงเร่งด่วน"))))))</f>
        <v>Auto-calculate</v>
      </c>
      <c r="G27" s="41"/>
      <c r="H27" s="38"/>
    </row>
    <row r="28" spans="1:8" s="9" customFormat="1" ht="81">
      <c r="A28" s="186"/>
      <c r="B28" s="616" t="s">
        <v>908</v>
      </c>
      <c r="C28" s="29"/>
      <c r="D28" s="175"/>
      <c r="E28" s="168"/>
      <c r="F28" s="162"/>
      <c r="G28" s="41"/>
      <c r="H28" s="45"/>
    </row>
    <row r="29" spans="1:8" s="9" customFormat="1" ht="101.25">
      <c r="A29" s="186"/>
      <c r="B29" s="616" t="s">
        <v>909</v>
      </c>
      <c r="C29" s="29"/>
      <c r="D29" s="175"/>
      <c r="E29" s="168"/>
      <c r="F29" s="162"/>
      <c r="G29" s="41"/>
      <c r="H29" s="45"/>
    </row>
    <row r="30" spans="1:8" s="9" customFormat="1" ht="40.5">
      <c r="A30" s="186"/>
      <c r="B30" s="618" t="s">
        <v>910</v>
      </c>
      <c r="C30" s="29"/>
      <c r="D30" s="175"/>
      <c r="E30" s="168"/>
      <c r="F30" s="162"/>
      <c r="G30" s="41"/>
      <c r="H30" s="45"/>
    </row>
    <row r="31" spans="1:8" s="9" customFormat="1" ht="81">
      <c r="A31" s="186"/>
      <c r="B31" s="618" t="s">
        <v>911</v>
      </c>
      <c r="C31" s="29"/>
      <c r="D31" s="175"/>
      <c r="E31" s="168"/>
      <c r="F31" s="162"/>
      <c r="G31" s="41"/>
      <c r="H31" s="45"/>
    </row>
    <row r="32" spans="1:8" s="9" customFormat="1" ht="81.75" thickBot="1">
      <c r="A32" s="186"/>
      <c r="B32" s="618" t="s">
        <v>912</v>
      </c>
      <c r="C32" s="29"/>
      <c r="D32" s="175"/>
      <c r="E32" s="168"/>
      <c r="F32" s="162"/>
      <c r="G32" s="41"/>
      <c r="H32" s="45"/>
    </row>
    <row r="33" spans="1:8" s="9" customFormat="1" ht="20.25">
      <c r="A33" s="186"/>
      <c r="B33" s="196" t="s">
        <v>880</v>
      </c>
      <c r="C33" s="206"/>
      <c r="D33" s="214" t="str">
        <f>IF(OR((ISERROR(SUM(D34:D38))="True"),(COUNT(D34:D38)=0)),"Auto-calculate",SUM(D34:D38))</f>
        <v>Auto-calculate</v>
      </c>
      <c r="E33" s="202"/>
      <c r="F33" s="613" t="str">
        <f>IF(OR((ISERROR(D33)="True"),(D33="Auto-calculate")),"Auto-calculate",IF((D33=5),"ดีมาก",IF((D33=4),"ดี",IF((D33=3),"พอใช้",IF((D33=2),"ต้องปรับปรุง",IF((D33&gt;=0),"ต้องปรับปรุงเร่งด่วน"))))))</f>
        <v>Auto-calculate</v>
      </c>
      <c r="G33" s="41"/>
      <c r="H33" s="38"/>
    </row>
    <row r="34" spans="1:8" s="9" customFormat="1" ht="81">
      <c r="A34" s="186"/>
      <c r="B34" s="617" t="s">
        <v>925</v>
      </c>
      <c r="C34" s="29"/>
      <c r="D34" s="175"/>
      <c r="E34" s="168"/>
      <c r="F34" s="162"/>
      <c r="G34" s="41"/>
      <c r="H34" s="45"/>
    </row>
    <row r="35" spans="1:8" s="9" customFormat="1" ht="81">
      <c r="A35" s="186"/>
      <c r="B35" s="616" t="s">
        <v>913</v>
      </c>
      <c r="C35" s="29"/>
      <c r="D35" s="175"/>
      <c r="E35" s="168"/>
      <c r="F35" s="162"/>
      <c r="G35" s="41"/>
      <c r="H35" s="45"/>
    </row>
    <row r="36" spans="1:8" s="9" customFormat="1" ht="101.25">
      <c r="A36" s="186"/>
      <c r="B36" s="618" t="s">
        <v>914</v>
      </c>
      <c r="C36" s="29"/>
      <c r="D36" s="175"/>
      <c r="E36" s="168"/>
      <c r="F36" s="162"/>
      <c r="G36" s="41"/>
      <c r="H36" s="45"/>
    </row>
    <row r="37" spans="1:8" s="9" customFormat="1" ht="60.75">
      <c r="A37" s="186"/>
      <c r="B37" s="618" t="s">
        <v>915</v>
      </c>
      <c r="C37" s="29"/>
      <c r="D37" s="175"/>
      <c r="E37" s="168"/>
      <c r="F37" s="162"/>
      <c r="G37" s="41"/>
      <c r="H37" s="45"/>
    </row>
    <row r="38" spans="1:8" s="9" customFormat="1" ht="41.25" thickBot="1">
      <c r="A38" s="186"/>
      <c r="B38" s="618" t="s">
        <v>916</v>
      </c>
      <c r="C38" s="29"/>
      <c r="D38" s="175"/>
      <c r="E38" s="168"/>
      <c r="F38" s="162"/>
      <c r="G38" s="41"/>
      <c r="H38" s="45"/>
    </row>
    <row r="39" spans="1:8" s="9" customFormat="1" ht="20.25">
      <c r="A39" s="186"/>
      <c r="B39" s="196" t="s">
        <v>881</v>
      </c>
      <c r="C39" s="37"/>
      <c r="D39" s="214" t="str">
        <f>IF(OR((ISERROR(SUM(D40:D44))="True"),(COUNT(D40:D44)=0)),"Auto-calculate",SUM(D40:D44))</f>
        <v>Auto-calculate</v>
      </c>
      <c r="E39" s="202"/>
      <c r="F39" s="613" t="str">
        <f>IF(OR((ISERROR(D39)="True"),(D39="Auto-calculate")),"Auto-calculate",IF((D39=5),"ดีมาก",IF((D39=4),"ดี",IF((D39=3),"พอใช้",IF((D39=2),"ต้องปรับปรุง",IF((D39&gt;=0),"ต้องปรับปรุงเร่งด่วน"))))))</f>
        <v>Auto-calculate</v>
      </c>
      <c r="G39" s="41"/>
      <c r="H39" s="38"/>
    </row>
    <row r="40" spans="1:8" s="9" customFormat="1" ht="101.25">
      <c r="A40" s="186"/>
      <c r="B40" s="616" t="s">
        <v>917</v>
      </c>
      <c r="C40" s="29"/>
      <c r="D40" s="175"/>
      <c r="E40" s="168"/>
      <c r="F40" s="162"/>
      <c r="G40" s="41"/>
      <c r="H40" s="45"/>
    </row>
    <row r="41" spans="1:8" s="9" customFormat="1" ht="40.5">
      <c r="A41" s="186"/>
      <c r="B41" s="617" t="s">
        <v>924</v>
      </c>
      <c r="C41" s="29"/>
      <c r="D41" s="175"/>
      <c r="E41" s="168"/>
      <c r="F41" s="162"/>
      <c r="G41" s="41"/>
      <c r="H41" s="45"/>
    </row>
    <row r="42" spans="1:8" s="9" customFormat="1" ht="20.25">
      <c r="A42" s="186"/>
      <c r="B42" s="618" t="s">
        <v>918</v>
      </c>
      <c r="C42" s="29"/>
      <c r="D42" s="175"/>
      <c r="E42" s="168"/>
      <c r="F42" s="162"/>
      <c r="G42" s="41"/>
      <c r="H42" s="45"/>
    </row>
    <row r="43" spans="1:8" s="9" customFormat="1" ht="20.25">
      <c r="A43" s="186"/>
      <c r="B43" s="618" t="s">
        <v>919</v>
      </c>
      <c r="C43" s="29"/>
      <c r="D43" s="175"/>
      <c r="E43" s="168"/>
      <c r="F43" s="162"/>
      <c r="G43" s="41"/>
      <c r="H43" s="45"/>
    </row>
    <row r="44" spans="1:8" s="9" customFormat="1" ht="21" thickBot="1">
      <c r="A44" s="186"/>
      <c r="B44" s="618" t="s">
        <v>920</v>
      </c>
      <c r="C44" s="29"/>
      <c r="D44" s="175"/>
      <c r="E44" s="168"/>
      <c r="F44" s="162"/>
      <c r="G44" s="41"/>
      <c r="H44" s="45"/>
    </row>
    <row r="45" spans="1:8" s="9" customFormat="1" ht="20.25">
      <c r="A45" s="186"/>
      <c r="B45" s="200" t="s">
        <v>882</v>
      </c>
      <c r="C45" s="37">
        <v>1</v>
      </c>
      <c r="D45" s="214" t="str">
        <f>IF(OR((ISERROR(SUM(D46:D59))="True"),(COUNT(D46:D59)=0)),"Auto-calculate",SUM(D46:D59))</f>
        <v>Auto-calculate</v>
      </c>
      <c r="E45" s="179" t="str">
        <f>IF(OR((ISERROR(D45)="True"),(D45="Auto-calculate")),"Auto-calculate",IF((D45=14),1,IF((D45&gt;=12),0.8,IF((D45&gt;=10),0.6,IF((D45&gt;=8),0.4,0.2)))))</f>
        <v>Auto-calculate</v>
      </c>
      <c r="F45" s="182"/>
      <c r="G45" s="41"/>
      <c r="H45" s="38">
        <f>IF(OR((E45="Auto-Calculate"),(COUNT(D46:D59)&lt;14)),"",VLOOKUP(E45,'เกณฑ์ประเมิน-ประถม&amp;มัธยม'!B24:C28,2,0))</f>
      </c>
    </row>
    <row r="46" spans="1:8" s="9" customFormat="1" ht="40.5">
      <c r="A46" s="186"/>
      <c r="B46" s="197" t="s">
        <v>310</v>
      </c>
      <c r="C46" s="29"/>
      <c r="D46" s="175"/>
      <c r="E46" s="207"/>
      <c r="F46" s="161"/>
      <c r="G46" s="41"/>
      <c r="H46" s="45"/>
    </row>
    <row r="47" spans="1:8" s="9" customFormat="1" ht="40.5">
      <c r="A47" s="186"/>
      <c r="B47" s="197" t="s">
        <v>736</v>
      </c>
      <c r="C47" s="29"/>
      <c r="D47" s="175"/>
      <c r="E47" s="168"/>
      <c r="F47" s="162"/>
      <c r="G47" s="41"/>
      <c r="H47" s="45"/>
    </row>
    <row r="48" spans="1:8" s="9" customFormat="1" ht="40.5">
      <c r="A48" s="186"/>
      <c r="B48" s="198" t="s">
        <v>738</v>
      </c>
      <c r="C48" s="29"/>
      <c r="D48" s="175"/>
      <c r="E48" s="168"/>
      <c r="F48" s="162"/>
      <c r="G48" s="41"/>
      <c r="H48" s="45"/>
    </row>
    <row r="49" spans="1:8" s="9" customFormat="1" ht="40.5">
      <c r="A49" s="186"/>
      <c r="B49" s="198" t="s">
        <v>739</v>
      </c>
      <c r="C49" s="29"/>
      <c r="D49" s="175"/>
      <c r="E49" s="168"/>
      <c r="F49" s="162"/>
      <c r="G49" s="41"/>
      <c r="H49" s="45"/>
    </row>
    <row r="50" spans="1:8" s="9" customFormat="1" ht="40.5">
      <c r="A50" s="186"/>
      <c r="B50" s="198" t="s">
        <v>740</v>
      </c>
      <c r="C50" s="29"/>
      <c r="D50" s="175"/>
      <c r="E50" s="168"/>
      <c r="F50" s="162"/>
      <c r="G50" s="41"/>
      <c r="H50" s="45"/>
    </row>
    <row r="51" spans="1:8" s="9" customFormat="1" ht="60.75">
      <c r="A51" s="186"/>
      <c r="B51" s="198" t="s">
        <v>742</v>
      </c>
      <c r="C51" s="29"/>
      <c r="D51" s="175"/>
      <c r="E51" s="168"/>
      <c r="F51" s="162"/>
      <c r="G51" s="41"/>
      <c r="H51" s="45"/>
    </row>
    <row r="52" spans="1:8" s="9" customFormat="1" ht="60.75">
      <c r="A52" s="186"/>
      <c r="B52" s="198" t="s">
        <v>743</v>
      </c>
      <c r="C52" s="29"/>
      <c r="D52" s="175"/>
      <c r="E52" s="168"/>
      <c r="F52" s="162"/>
      <c r="G52" s="41"/>
      <c r="H52" s="45"/>
    </row>
    <row r="53" spans="1:8" s="9" customFormat="1" ht="60.75">
      <c r="A53" s="186"/>
      <c r="B53" s="198" t="s">
        <v>756</v>
      </c>
      <c r="C53" s="29"/>
      <c r="D53" s="175"/>
      <c r="E53" s="168"/>
      <c r="F53" s="162"/>
      <c r="G53" s="41"/>
      <c r="H53" s="45"/>
    </row>
    <row r="54" spans="1:8" s="9" customFormat="1" ht="81">
      <c r="A54" s="186"/>
      <c r="B54" s="198" t="s">
        <v>757</v>
      </c>
      <c r="C54" s="29"/>
      <c r="D54" s="175"/>
      <c r="E54" s="168"/>
      <c r="F54" s="162"/>
      <c r="G54" s="41"/>
      <c r="H54" s="45"/>
    </row>
    <row r="55" spans="1:8" s="9" customFormat="1" ht="91.5" customHeight="1">
      <c r="A55" s="186"/>
      <c r="B55" s="198" t="s">
        <v>758</v>
      </c>
      <c r="C55" s="29"/>
      <c r="D55" s="175"/>
      <c r="E55" s="168"/>
      <c r="F55" s="162"/>
      <c r="G55" s="41"/>
      <c r="H55" s="45"/>
    </row>
    <row r="56" spans="1:8" s="9" customFormat="1" ht="46.5" customHeight="1">
      <c r="A56" s="186"/>
      <c r="B56" s="198" t="s">
        <v>311</v>
      </c>
      <c r="C56" s="29"/>
      <c r="D56" s="175"/>
      <c r="E56" s="168"/>
      <c r="F56" s="162"/>
      <c r="G56" s="41"/>
      <c r="H56" s="45"/>
    </row>
    <row r="57" spans="1:8" s="9" customFormat="1" ht="40.5">
      <c r="A57" s="186"/>
      <c r="B57" s="198" t="s">
        <v>737</v>
      </c>
      <c r="C57" s="29"/>
      <c r="D57" s="175"/>
      <c r="E57" s="168"/>
      <c r="F57" s="162"/>
      <c r="G57" s="41"/>
      <c r="H57" s="45"/>
    </row>
    <row r="58" spans="1:8" s="9" customFormat="1" ht="81.75" customHeight="1">
      <c r="A58" s="186"/>
      <c r="B58" s="198" t="s">
        <v>741</v>
      </c>
      <c r="C58" s="29"/>
      <c r="D58" s="175"/>
      <c r="E58" s="168"/>
      <c r="F58" s="162"/>
      <c r="G58" s="41"/>
      <c r="H58" s="45"/>
    </row>
    <row r="59" spans="1:8" s="9" customFormat="1" ht="43.5" customHeight="1" thickBot="1">
      <c r="A59" s="186"/>
      <c r="B59" s="199" t="s">
        <v>744</v>
      </c>
      <c r="C59" s="36"/>
      <c r="D59" s="176"/>
      <c r="E59" s="169"/>
      <c r="F59" s="163"/>
      <c r="G59" s="41"/>
      <c r="H59" s="45"/>
    </row>
    <row r="60" spans="1:8" s="9" customFormat="1" ht="20.25">
      <c r="A60" s="186"/>
      <c r="B60" s="200" t="s">
        <v>883</v>
      </c>
      <c r="C60" s="37">
        <v>2</v>
      </c>
      <c r="D60" s="214" t="str">
        <f>IF(OR((ISERROR(SUM(D61:D63))="True"),(COUNT(D61:D63)=0)),"Auto-calculate",SUM(D61:D63))</f>
        <v>Auto-calculate</v>
      </c>
      <c r="E60" s="179" t="str">
        <f>IF(OR((ISERROR(D60)="True"),(D60="Auto-calculate")),"Auto-calculate",IF((D60=3),2,IF((D60=2),1,IF((D60=1),0.5,IF((D60=0),0,0)))))</f>
        <v>Auto-calculate</v>
      </c>
      <c r="F60" s="182"/>
      <c r="G60" s="41"/>
      <c r="H60" s="38">
        <f>IF(OR((E60="Auto-Calculate"),(COUNT(D61:D63)&lt;3)),"",VLOOKUP(E60,'เกณฑ์ประเมิน-ประถม&amp;มัธยม'!B31:C34,2,0))</f>
      </c>
    </row>
    <row r="61" spans="1:8" s="9" customFormat="1" ht="20.25">
      <c r="A61" s="186"/>
      <c r="B61" s="197" t="s">
        <v>921</v>
      </c>
      <c r="C61" s="29"/>
      <c r="D61" s="175"/>
      <c r="E61" s="168"/>
      <c r="F61" s="162"/>
      <c r="G61" s="41"/>
      <c r="H61" s="45"/>
    </row>
    <row r="62" spans="1:8" s="9" customFormat="1" ht="20.25">
      <c r="A62" s="186"/>
      <c r="B62" s="197" t="s">
        <v>922</v>
      </c>
      <c r="C62" s="29"/>
      <c r="D62" s="175"/>
      <c r="E62" s="168"/>
      <c r="F62" s="162"/>
      <c r="G62" s="41"/>
      <c r="H62" s="45"/>
    </row>
    <row r="63" spans="1:8" s="9" customFormat="1" ht="21" thickBot="1">
      <c r="A63" s="186"/>
      <c r="B63" s="198" t="s">
        <v>923</v>
      </c>
      <c r="C63" s="29"/>
      <c r="D63" s="175"/>
      <c r="E63" s="168"/>
      <c r="F63" s="162"/>
      <c r="G63" s="41"/>
      <c r="H63" s="45"/>
    </row>
    <row r="64" spans="1:8" s="19" customFormat="1" ht="42">
      <c r="A64" s="184" t="s">
        <v>891</v>
      </c>
      <c r="B64" s="201" t="s">
        <v>892</v>
      </c>
      <c r="C64" s="28">
        <f>SUM(C65:C66)</f>
        <v>5</v>
      </c>
      <c r="D64" s="173"/>
      <c r="E64" s="180" t="str">
        <f>IF(OR(ISERROR(SUM(E65:E66)="True"),(COUNT(E65:E66)=0)),"Auto-calculate",ROUND(SUM(E65:E66),2))</f>
        <v>Auto-calculate</v>
      </c>
      <c r="F64" s="181" t="str">
        <f>IF(OR((ISERROR(E64)="True"),(E64="Auto-calculate")),"Auto-calculate",IF((E64&gt;=4.5),"ดีมาก",IF((E64&gt;=3.75),"ดี",IF((E64&gt;=3),"พอใช้",IF((E64&gt;=2.5),"ต้องปรับปรุง",IF((E64&gt;=0),"ต้องปรับปรุงเร่งด่วน"))))))</f>
        <v>Auto-calculate</v>
      </c>
      <c r="G64" s="41"/>
      <c r="H64" s="94"/>
    </row>
    <row r="65" spans="1:8" s="19" customFormat="1" ht="60.75">
      <c r="A65" s="188"/>
      <c r="B65" s="434" t="s">
        <v>374</v>
      </c>
      <c r="C65" s="210">
        <v>2.5</v>
      </c>
      <c r="D65" s="211"/>
      <c r="E65" s="212" t="str">
        <f>IF(OR((ISERROR(D65)="True"),(D65="")),"Auto-calculate",ROUND(D65/5*2.5,2))</f>
        <v>Auto-calculate</v>
      </c>
      <c r="F65" s="213"/>
      <c r="G65" s="41"/>
      <c r="H65" s="94"/>
    </row>
    <row r="66" spans="1:8" s="19" customFormat="1" ht="40.5">
      <c r="A66" s="185"/>
      <c r="B66" s="619" t="s">
        <v>933</v>
      </c>
      <c r="C66" s="620">
        <v>2.5</v>
      </c>
      <c r="D66" s="175" t="str">
        <f>IF(OR((ISERROR(SUM(D67:D74))="True"),(COUNT(D67:D74)=0)),"Auto-calculate",SUM(D67:D74))</f>
        <v>Auto-calculate</v>
      </c>
      <c r="E66" s="622" t="str">
        <f>IF(OR((ISERROR(D66)="True"),(D66="Auto-calculate")),"Auto-calculate",IF((D66=8),2.5,IF((D66&gt;=5),1.25,IF((D66&gt;=0),0,0))))</f>
        <v>Auto-calculate</v>
      </c>
      <c r="F66" s="162"/>
      <c r="G66" s="41"/>
      <c r="H66" s="38">
        <f>IF(OR((E66="Auto-Calculate"),(COUNT(D66)&lt;1)),"",VLOOKUP(E66,'เกณฑ์ประเมิน-ประถม&amp;มัธยม'!B37:C39,2,0))</f>
      </c>
    </row>
    <row r="67" spans="1:8" s="9" customFormat="1" ht="60.75">
      <c r="A67" s="186"/>
      <c r="B67" s="418" t="s">
        <v>937</v>
      </c>
      <c r="C67" s="29"/>
      <c r="D67" s="175"/>
      <c r="E67" s="168"/>
      <c r="F67" s="162"/>
      <c r="G67" s="41"/>
      <c r="H67" s="45"/>
    </row>
    <row r="68" spans="1:8" s="9" customFormat="1" ht="40.5">
      <c r="A68" s="186"/>
      <c r="B68" s="418" t="s">
        <v>938</v>
      </c>
      <c r="C68" s="29"/>
      <c r="D68" s="175"/>
      <c r="E68" s="168"/>
      <c r="F68" s="162"/>
      <c r="G68" s="41"/>
      <c r="H68" s="45"/>
    </row>
    <row r="69" spans="1:8" s="9" customFormat="1" ht="20.25">
      <c r="A69" s="186"/>
      <c r="B69" s="418" t="s">
        <v>939</v>
      </c>
      <c r="C69" s="29"/>
      <c r="D69" s="175"/>
      <c r="E69" s="168"/>
      <c r="F69" s="162"/>
      <c r="G69" s="41"/>
      <c r="H69" s="45"/>
    </row>
    <row r="70" spans="1:8" s="9" customFormat="1" ht="20.25">
      <c r="A70" s="186"/>
      <c r="B70" s="418" t="s">
        <v>940</v>
      </c>
      <c r="C70" s="29"/>
      <c r="D70" s="175"/>
      <c r="E70" s="168"/>
      <c r="F70" s="162"/>
      <c r="G70" s="41"/>
      <c r="H70" s="45"/>
    </row>
    <row r="71" spans="1:8" s="9" customFormat="1" ht="20.25">
      <c r="A71" s="186"/>
      <c r="B71" s="418" t="s">
        <v>941</v>
      </c>
      <c r="C71" s="29"/>
      <c r="D71" s="175"/>
      <c r="E71" s="168"/>
      <c r="F71" s="162"/>
      <c r="G71" s="41"/>
      <c r="H71" s="45"/>
    </row>
    <row r="72" spans="1:8" s="9" customFormat="1" ht="40.5">
      <c r="A72" s="186"/>
      <c r="B72" s="418" t="s">
        <v>942</v>
      </c>
      <c r="C72" s="29"/>
      <c r="D72" s="175"/>
      <c r="E72" s="168"/>
      <c r="F72" s="162"/>
      <c r="G72" s="41"/>
      <c r="H72" s="45"/>
    </row>
    <row r="73" spans="1:8" s="9" customFormat="1" ht="20.25">
      <c r="A73" s="186"/>
      <c r="B73" s="418" t="s">
        <v>943</v>
      </c>
      <c r="C73" s="29"/>
      <c r="D73" s="175"/>
      <c r="E73" s="168"/>
      <c r="F73" s="162"/>
      <c r="G73" s="41"/>
      <c r="H73" s="45"/>
    </row>
    <row r="74" spans="1:8" s="9" customFormat="1" ht="21" thickBot="1">
      <c r="A74" s="186"/>
      <c r="B74" s="418" t="s">
        <v>944</v>
      </c>
      <c r="C74" s="29"/>
      <c r="D74" s="175"/>
      <c r="E74" s="168"/>
      <c r="F74" s="162"/>
      <c r="G74" s="41"/>
      <c r="H74" s="45"/>
    </row>
    <row r="75" spans="1:8" s="19" customFormat="1" ht="42">
      <c r="A75" s="184" t="s">
        <v>893</v>
      </c>
      <c r="B75" s="201" t="s">
        <v>894</v>
      </c>
      <c r="C75" s="28">
        <v>5</v>
      </c>
      <c r="D75" s="215" t="str">
        <f>IF(OR((ISERROR(SUM(D76:D80))="True"),(COUNT(D76:D80)=0)),"Auto-calculate",SUM(D76:D80))</f>
        <v>Auto-calculate</v>
      </c>
      <c r="E75" s="216" t="str">
        <f>IF(OR((ISERROR(D75)="True"),(D75="Auto-calculate")),"Auto-calculate",IF((D75=5),5,IF((D75=4),4,IF((D75=3),3,IF((D75=2),2,IF((D75=1),1,0))))))</f>
        <v>Auto-calculate</v>
      </c>
      <c r="F75" s="217" t="str">
        <f>IF(OR((ISERROR(E75)="True"),(E75="Auto-calculate")),"Auto-calculate",IF((E75=5),"ดีมาก",IF((E75=4),"ดี",IF((E75=3),"พอใช้",IF((E75=2),"ต้องปรับปรุง",IF((E75&gt;=0),"ต้องปรับปรุงเร่งด่วน"))))))</f>
        <v>Auto-calculate</v>
      </c>
      <c r="G75" s="41"/>
      <c r="H75" s="38">
        <f>IF(OR((E75="Auto-Calculate"),(COUNT(D76:D80)&lt;5)),"",VLOOKUP(E75,'เกณฑ์ประเมิน-ประถม&amp;มัธยม'!B42:C47,2,0))</f>
      </c>
    </row>
    <row r="76" spans="1:8" s="9" customFormat="1" ht="81">
      <c r="A76" s="186"/>
      <c r="B76" s="418" t="s">
        <v>945</v>
      </c>
      <c r="C76" s="29"/>
      <c r="D76" s="175"/>
      <c r="E76" s="170"/>
      <c r="F76" s="165"/>
      <c r="G76" s="41"/>
      <c r="H76" s="38"/>
    </row>
    <row r="77" spans="1:8" s="9" customFormat="1" ht="60.75">
      <c r="A77" s="186"/>
      <c r="B77" s="418" t="s">
        <v>946</v>
      </c>
      <c r="C77" s="29"/>
      <c r="D77" s="175"/>
      <c r="E77" s="168"/>
      <c r="F77" s="162"/>
      <c r="G77" s="41"/>
      <c r="H77" s="45"/>
    </row>
    <row r="78" spans="1:8" s="9" customFormat="1" ht="60.75">
      <c r="A78" s="186"/>
      <c r="B78" s="418" t="s">
        <v>947</v>
      </c>
      <c r="C78" s="29"/>
      <c r="D78" s="175"/>
      <c r="E78" s="168"/>
      <c r="F78" s="162"/>
      <c r="G78" s="41"/>
      <c r="H78" s="45"/>
    </row>
    <row r="79" spans="1:8" s="9" customFormat="1" ht="40.5">
      <c r="A79" s="186"/>
      <c r="B79" s="418" t="s">
        <v>949</v>
      </c>
      <c r="C79" s="29"/>
      <c r="D79" s="175"/>
      <c r="E79" s="168"/>
      <c r="F79" s="162"/>
      <c r="G79" s="41"/>
      <c r="H79" s="45"/>
    </row>
    <row r="80" spans="1:8" s="9" customFormat="1" ht="41.25" thickBot="1">
      <c r="A80" s="189"/>
      <c r="B80" s="419" t="s">
        <v>948</v>
      </c>
      <c r="C80" s="104"/>
      <c r="D80" s="175"/>
      <c r="E80" s="171"/>
      <c r="F80" s="166"/>
      <c r="G80" s="41"/>
      <c r="H80" s="45"/>
    </row>
    <row r="81" spans="1:8" s="19" customFormat="1" ht="42">
      <c r="A81" s="184" t="s">
        <v>759</v>
      </c>
      <c r="B81" s="201" t="s">
        <v>760</v>
      </c>
      <c r="C81" s="218">
        <v>5</v>
      </c>
      <c r="D81" s="215" t="str">
        <f>IF(OR((ISERROR(SUM(D82:D86))="True"),(COUNT(D82:D86)=0)),"Auto-calculate",SUM(D82:D86))</f>
        <v>Auto-calculate</v>
      </c>
      <c r="E81" s="216" t="str">
        <f>IF(OR((ISERROR(D81)="True"),(D81="Auto-calculate")),"Auto-calculate",IF((D81=5),5,IF((D81=4),4,IF((D81=3),3,IF((D81=2),2,IF((D81=1),1,0))))))</f>
        <v>Auto-calculate</v>
      </c>
      <c r="F81" s="217" t="str">
        <f>IF(OR((ISERROR(E81)="True"),(E81="Auto-calculate")),"Auto-calculate",IF((E81=5),"ดีมาก",IF((E81=4),"ดี",IF((E81=3),"พอใช้",IF((E81=2),"ต้องปรับปรุง",IF((E81&gt;=0),"ต้องปรับปรุงเร่งด่วน"))))))</f>
        <v>Auto-calculate</v>
      </c>
      <c r="G81" s="41"/>
      <c r="H81" s="38">
        <f>IF(OR((E81="Auto-Calculate"),(COUNT(D82:D86)&lt;5)),"",VLOOKUP(E81,'เกณฑ์ประเมิน-ประถม&amp;มัธยม'!B50:C55,2,0))</f>
      </c>
    </row>
    <row r="82" spans="1:8" s="9" customFormat="1" ht="60.75">
      <c r="A82" s="186"/>
      <c r="B82" s="418" t="s">
        <v>950</v>
      </c>
      <c r="C82" s="29"/>
      <c r="D82" s="175"/>
      <c r="E82" s="170"/>
      <c r="F82" s="165"/>
      <c r="G82" s="41"/>
      <c r="H82" s="38"/>
    </row>
    <row r="83" spans="1:8" s="9" customFormat="1" ht="60.75">
      <c r="A83" s="186"/>
      <c r="B83" s="418" t="s">
        <v>951</v>
      </c>
      <c r="C83" s="29"/>
      <c r="D83" s="175"/>
      <c r="E83" s="168"/>
      <c r="F83" s="162"/>
      <c r="G83" s="41"/>
      <c r="H83" s="45"/>
    </row>
    <row r="84" spans="1:8" s="9" customFormat="1" ht="60.75">
      <c r="A84" s="186"/>
      <c r="B84" s="418" t="s">
        <v>952</v>
      </c>
      <c r="C84" s="29"/>
      <c r="D84" s="175"/>
      <c r="E84" s="168"/>
      <c r="F84" s="162"/>
      <c r="G84" s="41"/>
      <c r="H84" s="45"/>
    </row>
    <row r="85" spans="1:8" s="9" customFormat="1" ht="40.5">
      <c r="A85" s="186"/>
      <c r="B85" s="418" t="s">
        <v>953</v>
      </c>
      <c r="C85" s="29"/>
      <c r="D85" s="175"/>
      <c r="E85" s="168"/>
      <c r="F85" s="162"/>
      <c r="G85" s="41"/>
      <c r="H85" s="45"/>
    </row>
    <row r="86" spans="1:8" s="9" customFormat="1" ht="41.25" thickBot="1">
      <c r="A86" s="189"/>
      <c r="B86" s="419" t="s">
        <v>954</v>
      </c>
      <c r="C86" s="104"/>
      <c r="D86" s="177"/>
      <c r="E86" s="171"/>
      <c r="F86" s="166"/>
      <c r="G86" s="41"/>
      <c r="H86" s="45"/>
    </row>
    <row r="87" spans="1:8" s="19" customFormat="1" ht="42">
      <c r="A87" s="184" t="s">
        <v>761</v>
      </c>
      <c r="B87" s="201" t="s">
        <v>765</v>
      </c>
      <c r="C87" s="219">
        <v>5</v>
      </c>
      <c r="D87" s="220"/>
      <c r="E87" s="180" t="str">
        <f>IF(OR(ISERROR(SUM(E88,E93)="True"),(COUNT(E88,E93)=0)),"Auto-calculate",SUM(E88,E93))</f>
        <v>Auto-calculate</v>
      </c>
      <c r="F87" s="181" t="str">
        <f>IF(OR((ISERROR(E87)="True"),(E87="Auto-calculate")),"Auto-calculate",IF((E87&gt;=4.5),"ดีมาก",IF((E87&gt;=3.75),"ดี",IF((E87&gt;=3),"พอใช้",IF((E87&gt;=2.5),"ต้องปรับปรุง",IF((E87&gt;=0),"ต้องปรับปรุงเร่งด่วน"))))))</f>
        <v>Auto-calculate</v>
      </c>
      <c r="G87" s="41"/>
      <c r="H87" s="38"/>
    </row>
    <row r="88" spans="1:8" s="19" customFormat="1" ht="21">
      <c r="A88" s="188"/>
      <c r="B88" s="221" t="s">
        <v>645</v>
      </c>
      <c r="C88" s="623">
        <v>2</v>
      </c>
      <c r="D88" s="222" t="str">
        <f>IF(OR((ISERROR(SUM(D89:D92))="True"),(COUNT(D89:D92)=0)),"Auto-calculate",SUM(D89:D92))</f>
        <v>Auto-calculate</v>
      </c>
      <c r="E88" s="223" t="str">
        <f>IF(OR((ISERROR(D88)="True"),(D88="Auto-calculate")),"Auto-calculate",IF((D88=4),2,IF((D88=3),1.5,IF((D88=2),1,IF((D88=1),0.5,IF((D88=0),0,0))))))</f>
        <v>Auto-calculate</v>
      </c>
      <c r="F88" s="230"/>
      <c r="G88" s="41"/>
      <c r="H88" s="38">
        <f>IF(OR((E88="Auto-Calculate"),(COUNT(D89:D92)&lt;4)),"",VLOOKUP(E88,'เกณฑ์ประเมิน-ประถม&amp;มัธยม'!B58:C62,2,0))</f>
      </c>
    </row>
    <row r="89" spans="1:8" s="9" customFormat="1" ht="20.25">
      <c r="A89" s="186"/>
      <c r="B89" s="418" t="s">
        <v>955</v>
      </c>
      <c r="C89" s="29"/>
      <c r="D89" s="175"/>
      <c r="E89" s="170"/>
      <c r="F89" s="165"/>
      <c r="G89" s="41"/>
      <c r="H89" s="38"/>
    </row>
    <row r="90" spans="1:8" s="9" customFormat="1" ht="20.25">
      <c r="A90" s="186"/>
      <c r="B90" s="418" t="s">
        <v>956</v>
      </c>
      <c r="C90" s="29"/>
      <c r="D90" s="175"/>
      <c r="E90" s="168"/>
      <c r="F90" s="162"/>
      <c r="G90" s="41"/>
      <c r="H90" s="45"/>
    </row>
    <row r="91" spans="1:8" s="9" customFormat="1" ht="20.25">
      <c r="A91" s="186"/>
      <c r="B91" s="418" t="s">
        <v>957</v>
      </c>
      <c r="C91" s="29"/>
      <c r="D91" s="175"/>
      <c r="E91" s="168"/>
      <c r="F91" s="162"/>
      <c r="G91" s="41"/>
      <c r="H91" s="45"/>
    </row>
    <row r="92" spans="1:8" s="9" customFormat="1" ht="21" thickBot="1">
      <c r="A92" s="186"/>
      <c r="B92" s="418" t="s">
        <v>958</v>
      </c>
      <c r="C92" s="29"/>
      <c r="D92" s="175"/>
      <c r="E92" s="168"/>
      <c r="F92" s="162"/>
      <c r="G92" s="41"/>
      <c r="H92" s="45"/>
    </row>
    <row r="93" spans="1:8" s="19" customFormat="1" ht="21" thickBot="1">
      <c r="A93" s="225"/>
      <c r="B93" s="226" t="s">
        <v>693</v>
      </c>
      <c r="C93" s="227">
        <v>3</v>
      </c>
      <c r="D93" s="228"/>
      <c r="E93" s="229" t="str">
        <f>IF(OR((ISERROR(D93)="True"),(D93="")),"Auto-calculate",D93)</f>
        <v>Auto-calculate</v>
      </c>
      <c r="F93" s="231"/>
      <c r="G93" s="41"/>
      <c r="H93" s="38">
        <f>IF(OR((E93="Auto-Calculate"),(COUNT(D93)&lt;1)),"",VLOOKUP(E93,'เกณฑ์ประเมิน-ประถม&amp;มัธยม'!B65:C68,2,0))</f>
      </c>
    </row>
    <row r="94" spans="1:8" s="19" customFormat="1" ht="63">
      <c r="A94" s="184" t="s">
        <v>766</v>
      </c>
      <c r="B94" s="201" t="s">
        <v>767</v>
      </c>
      <c r="C94" s="232">
        <v>5</v>
      </c>
      <c r="D94" s="215" t="str">
        <f>IF(OR((ISERROR(SUM(D95:D99))="True"),(COUNT(D95:D99)=0)),"Auto-calculate",SUM(D95:D99))</f>
        <v>Auto-calculate</v>
      </c>
      <c r="E94" s="216" t="str">
        <f>IF(OR((ISERROR(D94)="True"),(D94="Auto-calculate")),"Auto-calculate",IF((D94=5),5,IF((D94=4),4,IF((D94=3),3,IF((D94=2),2,IF((D94=1),1,0))))))</f>
        <v>Auto-calculate</v>
      </c>
      <c r="F94" s="217" t="str">
        <f>IF(OR((ISERROR(E94)="True"),(E94="Auto-calculate")),"Auto-calculate",IF((E94=5),"ดีมาก",IF((E94=4),"ดี",IF((E94=3),"พอใช้",IF((E94=2),"ต้องปรับปรุง",IF((E94&gt;=0),"ต้องปรับปรุงเร่งด่วน"))))))</f>
        <v>Auto-calculate</v>
      </c>
      <c r="G94" s="41"/>
      <c r="H94" s="38">
        <f>IF(OR((E94="Auto-Calculate"),(COUNT(D95:D99)&lt;5)),"",VLOOKUP(E94,'เกณฑ์ประเมิน-ประถม&amp;มัธยม'!B71:C76,2,0))</f>
      </c>
    </row>
    <row r="95" spans="1:8" s="9" customFormat="1" ht="111" customHeight="1">
      <c r="A95" s="186"/>
      <c r="B95" s="420" t="s">
        <v>960</v>
      </c>
      <c r="C95" s="29"/>
      <c r="D95" s="175"/>
      <c r="E95" s="170"/>
      <c r="F95" s="165"/>
      <c r="G95" s="41"/>
      <c r="H95" s="38"/>
    </row>
    <row r="96" spans="1:8" s="9" customFormat="1" ht="40.5">
      <c r="A96" s="186"/>
      <c r="B96" s="418" t="s">
        <v>961</v>
      </c>
      <c r="C96" s="29"/>
      <c r="D96" s="175"/>
      <c r="E96" s="168"/>
      <c r="F96" s="162"/>
      <c r="G96" s="41"/>
      <c r="H96" s="45"/>
    </row>
    <row r="97" spans="1:8" s="9" customFormat="1" ht="20.25">
      <c r="A97" s="186"/>
      <c r="B97" s="418" t="s">
        <v>962</v>
      </c>
      <c r="C97" s="29"/>
      <c r="D97" s="175"/>
      <c r="E97" s="168"/>
      <c r="F97" s="162"/>
      <c r="G97" s="41"/>
      <c r="H97" s="45"/>
    </row>
    <row r="98" spans="1:8" s="9" customFormat="1" ht="40.5">
      <c r="A98" s="186"/>
      <c r="B98" s="418" t="s">
        <v>964</v>
      </c>
      <c r="C98" s="29"/>
      <c r="D98" s="175"/>
      <c r="E98" s="168"/>
      <c r="F98" s="162"/>
      <c r="G98" s="41"/>
      <c r="H98" s="45"/>
    </row>
    <row r="99" spans="1:8" s="9" customFormat="1" ht="41.25" thickBot="1">
      <c r="A99" s="189"/>
      <c r="B99" s="419" t="s">
        <v>965</v>
      </c>
      <c r="C99" s="104"/>
      <c r="D99" s="177"/>
      <c r="E99" s="171"/>
      <c r="F99" s="166"/>
      <c r="G99" s="41"/>
      <c r="H99" s="45"/>
    </row>
  </sheetData>
  <sheetProtection password="D502" sheet="1"/>
  <protectedRanges>
    <protectedRange sqref="D11:D15 D17:D18 D95:D99 D22:D26 D28:D32 D34:D38 D46:D59 D61:D63 D76:D80 D82:D86 D40:D44 D65 D67:D74 D89:D93" name="ตบช.6ถึง12"/>
  </protectedRanges>
  <conditionalFormatting sqref="D95:D99 D76:D80 D82:D86 D89:D93 D46:D59 D61:D63 D40:D44 D34:D38 D28:D32 D11:D15 B5:B6 D22:D26 D17 D65:D74">
    <cfRule type="expression" priority="1" dxfId="0" stopIfTrue="1">
      <formula>B5&lt;&gt;""</formula>
    </cfRule>
  </conditionalFormatting>
  <conditionalFormatting sqref="D18">
    <cfRule type="expression" priority="3" dxfId="0" stopIfTrue="1">
      <formula>D18&lt;&gt;"Auto-calculate"</formula>
    </cfRule>
  </conditionalFormatting>
  <dataValidations count="8">
    <dataValidation operator="greaterThan" allowBlank="1" showInputMessage="1" showErrorMessage="1" sqref="E93 E94:F94 E16:F16 E10:G10 F19 F21 E20 F9 E60 E45:F45 F39 F64 F27 F33 E65:E66 E81:F81 E75:F75 F87 E88:F88"/>
    <dataValidation type="whole" allowBlank="1" showInputMessage="1" showErrorMessage="1" errorTitle="ค่าที่คุณป้อนไม่ถูกต้อง" error="หากดำเนินการได้ตามประเด็น ป้อน 1, หากไม่สามารถดำเนินการได้ตามประเด็น ป้อน 0" sqref="D95:D99 D28:D32 D11:D15 D22:D26 D19 D34:D38 D61:D64 D46:D59 D40:D44 D82:D86 D76:D80 D89:D92">
      <formula1>0</formula1>
      <formula2>1</formula2>
    </dataValidation>
    <dataValidation type="whole" allowBlank="1" showInputMessage="1" showErrorMessage="1" errorTitle="ค่าที่ป้อนไม่ถูกต้อง" error="คะแนนพัฒนาการเป็นจำนวนเต็ม มีค่าได้ 0, 1, 2 หรือ 3 เท่านั้น" sqref="D93">
      <formula1>0</formula1>
      <formula2>3</formula2>
    </dataValidation>
    <dataValidation type="decimal" allowBlank="1" showInputMessage="1" showErrorMessage="1" errorTitle="ค่าที่คุณป้อนไม่ถูกต้อง" error="ค่าที่ป้อนเป็นค่าทศนิยมมีค่าได้ตั้งแต่ 0 ถึง 5 เท่านั้น" sqref="D65">
      <formula1>0</formula1>
      <formula2>5</formula2>
    </dataValidation>
    <dataValidation allowBlank="1" showInputMessage="1" showErrorMessage="1" errorTitle="ค่าที่ป้อนไม่ถูกต้อง" error="คะแนนพัฒนาการเป็นจำนวนเต็ม มีค่าได้ 0, 1 หรือ 2 เท่านั้น" sqref="D66"/>
    <dataValidation type="whole" operator="greaterThanOrEqual" allowBlank="1" showInputMessage="1" showErrorMessage="1" errorTitle="ค่าที่คุณป้อนไม่ถูกต้อง" error="จำนวนครูต้องเป็นจำนวนเต็มเท่านั้น" sqref="D17">
      <formula1>0</formula1>
    </dataValidation>
    <dataValidation operator="greaterThanOrEqual" allowBlank="1" showInputMessage="1" showErrorMessage="1" errorTitle="ค่าที่คุณป้อนไม่ถูกต้อง" error="จำนวนครูต้องเป็นจำนวนเต็มเท่านั้น" sqref="D18"/>
    <dataValidation type="whole" allowBlank="1" showInputMessage="1" showErrorMessage="1" errorTitle="ค่าที่คุณป้อนไม่ถูกต้อง" error="หากมีพัฒนาการอย่างต่อเนื่องตามประเด็น ป้อน 1, หากไม่มีพัฒนาการอย่างต่อเนื่องตามประเด็น ป้อน 0" sqref="D67:D74">
      <formula1>0</formula1>
      <formula2>1</formula2>
    </dataValidation>
  </dataValidations>
  <printOptions/>
  <pageMargins left="0.4724409448818898" right="0.2755905511811024" top="0.2755905511811024" bottom="0.3937007874015748" header="0.31496062992125984" footer="0.15748031496062992"/>
  <pageSetup horizontalDpi="600" verticalDpi="600" orientation="landscape" paperSize="9" scale="75" r:id="rId1"/>
  <headerFooter alignWithMargins="0">
    <oddFooter>&amp;L&amp;7&amp;Z&amp;F&amp;R&amp;"BrowalliaUPC,ธรรมดา"&amp;14รับรองข้อมูลถูกต้อง     
..........................................</oddFooter>
  </headerFooter>
  <rowBreaks count="2" manualBreakCount="2">
    <brk id="74" max="5" man="1"/>
    <brk id="8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0"/>
  </sheetPr>
  <dimension ref="A1:S237"/>
  <sheetViews>
    <sheetView showGridLines="0" zoomScale="70" zoomScaleNormal="70" zoomScaleSheetLayoutView="85" zoomScalePageLayoutView="0" workbookViewId="0" topLeftCell="A1">
      <selection activeCell="D10" sqref="D10"/>
    </sheetView>
  </sheetViews>
  <sheetFormatPr defaultColWidth="8.00390625" defaultRowHeight="14.25"/>
  <cols>
    <col min="1" max="1" width="11.75390625" style="264" customWidth="1"/>
    <col min="2" max="2" width="27.125" style="264" customWidth="1"/>
    <col min="3" max="3" width="8.125" style="263" customWidth="1"/>
    <col min="4" max="4" width="11.50390625" style="263" customWidth="1"/>
    <col min="5" max="6" width="10.75390625" style="263" customWidth="1"/>
    <col min="7" max="7" width="8.375" style="263" customWidth="1"/>
    <col min="8" max="8" width="8.375" style="264" customWidth="1"/>
    <col min="9" max="9" width="8.375" style="265" customWidth="1"/>
    <col min="10" max="10" width="14.375" style="266" hidden="1" customWidth="1"/>
    <col min="11" max="12" width="12.625" style="264" hidden="1" customWidth="1"/>
    <col min="13" max="13" width="50.375" style="395" hidden="1" customWidth="1"/>
    <col min="14" max="19" width="8.00390625" style="396" customWidth="1"/>
    <col min="20" max="16384" width="8.00390625" style="264" customWidth="1"/>
  </cols>
  <sheetData>
    <row r="1" spans="1:2" ht="27" thickBot="1">
      <c r="A1" s="262" t="s">
        <v>837</v>
      </c>
      <c r="B1" s="262"/>
    </row>
    <row r="2" spans="1:5" ht="21.75" thickBot="1">
      <c r="A2" s="357" t="s">
        <v>812</v>
      </c>
      <c r="B2" s="702">
        <f>IF(('EntryData-ข้อมูล1'!C10&lt;&gt;""),'EntryData-ข้อมูล1'!C10,"")</f>
      </c>
      <c r="C2" s="703"/>
      <c r="D2" s="704"/>
      <c r="E2" s="88" t="s">
        <v>642</v>
      </c>
    </row>
    <row r="3" spans="1:4" ht="21.75" thickBot="1">
      <c r="A3" s="357" t="s">
        <v>839</v>
      </c>
      <c r="B3" s="702">
        <f>IF(('EntryData-ข้อมูล1'!C11&lt;&gt;""),'EntryData-ข้อมูล1'!C11,"")</f>
      </c>
      <c r="C3" s="703"/>
      <c r="D3" s="704"/>
    </row>
    <row r="4" ht="6" customHeight="1"/>
    <row r="5" spans="1:2" ht="21.75" customHeight="1">
      <c r="A5" s="293" t="s">
        <v>686</v>
      </c>
      <c r="B5" s="293"/>
    </row>
    <row r="6" spans="1:2" ht="6.75" customHeight="1" thickBot="1">
      <c r="A6" s="293"/>
      <c r="B6" s="293"/>
    </row>
    <row r="7" spans="1:13" ht="24.75" customHeight="1">
      <c r="A7" s="717" t="s">
        <v>836</v>
      </c>
      <c r="B7" s="718"/>
      <c r="C7" s="719"/>
      <c r="D7" s="342" t="s">
        <v>644</v>
      </c>
      <c r="E7" s="343" t="s">
        <v>830</v>
      </c>
      <c r="F7" s="344" t="s">
        <v>818</v>
      </c>
      <c r="G7" s="265"/>
      <c r="H7" s="266"/>
      <c r="I7" s="266"/>
      <c r="J7" s="263"/>
      <c r="K7" s="267"/>
      <c r="M7" s="396"/>
    </row>
    <row r="8" spans="1:13" ht="24.75" customHeight="1" thickBot="1">
      <c r="A8" s="712" t="s">
        <v>63</v>
      </c>
      <c r="B8" s="713"/>
      <c r="C8" s="714"/>
      <c r="D8" s="345" t="s">
        <v>831</v>
      </c>
      <c r="E8" s="340"/>
      <c r="F8" s="341" t="s">
        <v>819</v>
      </c>
      <c r="J8" s="406" t="s">
        <v>798</v>
      </c>
      <c r="K8" s="406" t="s">
        <v>820</v>
      </c>
      <c r="L8" s="406" t="s">
        <v>821</v>
      </c>
      <c r="M8" s="407" t="s">
        <v>799</v>
      </c>
    </row>
    <row r="9" spans="1:13" ht="21" customHeight="1">
      <c r="A9" s="346" t="s">
        <v>832</v>
      </c>
      <c r="B9" s="346"/>
      <c r="C9" s="347"/>
      <c r="D9" s="348"/>
      <c r="E9" s="349"/>
      <c r="F9" s="289"/>
      <c r="J9" s="371"/>
      <c r="K9" s="371"/>
      <c r="L9" s="371"/>
      <c r="M9" s="404"/>
    </row>
    <row r="10" spans="1:14" ht="41.25" customHeight="1">
      <c r="A10" s="338" t="s">
        <v>47</v>
      </c>
      <c r="B10" s="700" t="s">
        <v>643</v>
      </c>
      <c r="C10" s="701"/>
      <c r="D10" s="583">
        <v>10</v>
      </c>
      <c r="E10" s="584" t="str">
        <f>IF(('EntryData-ประถม&amp;มัธยม(ตบช.1-4)'!M13="Auto-calculate"),"Auto-calculate",'EntryData-ประถม&amp;มัธยม(ตบช.1-4)'!M13)</f>
        <v>Auto-calculate</v>
      </c>
      <c r="F10" s="585" t="str">
        <f>IF(('EntryData-ประถม&amp;มัธยม(ตบช.1-4)'!N13="Auto-calculate"),"Auto-calculate",'EntryData-ประถม&amp;มัธยม(ตบช.1-4)'!N13)</f>
        <v>Auto-calculate</v>
      </c>
      <c r="J10" s="387">
        <v>1</v>
      </c>
      <c r="K10" s="373">
        <f>IF(AND((E10&gt;=7.5),(E10&lt;&gt;"Auto-Calculate")),1,"")</f>
      </c>
      <c r="L10" s="373">
        <f>IF((E10&lt;=5.99),1,"")</f>
      </c>
      <c r="M10" s="405" t="s">
        <v>643</v>
      </c>
      <c r="N10" s="390"/>
    </row>
    <row r="11" spans="1:14" ht="41.25" customHeight="1">
      <c r="A11" s="338" t="s">
        <v>48</v>
      </c>
      <c r="B11" s="700" t="s">
        <v>779</v>
      </c>
      <c r="C11" s="701"/>
      <c r="D11" s="583">
        <v>10</v>
      </c>
      <c r="E11" s="584" t="str">
        <f>IF(('EntryData-ประถม&amp;มัธยม(ตบช.1-4)'!M19="Auto-calculate"),"Auto-calculate",'EntryData-ประถม&amp;มัธยม(ตบช.1-4)'!M19)</f>
        <v>Auto-calculate</v>
      </c>
      <c r="F11" s="585" t="str">
        <f>IF(('EntryData-ประถม&amp;มัธยม(ตบช.1-4)'!N19="Auto-calculate"),"Auto-calculate",'EntryData-ประถม&amp;มัธยม(ตบช.1-4)'!N19)</f>
        <v>Auto-calculate</v>
      </c>
      <c r="J11" s="387">
        <v>2</v>
      </c>
      <c r="K11" s="373">
        <f>IF(AND((E11&gt;=7.5),(E11&lt;&gt;"Auto-Calculate")),1,"")</f>
      </c>
      <c r="L11" s="373">
        <f>IF((E11&lt;=5.99),1,"")</f>
      </c>
      <c r="M11" s="405" t="s">
        <v>779</v>
      </c>
      <c r="N11" s="390"/>
    </row>
    <row r="12" spans="1:14" ht="41.25" customHeight="1">
      <c r="A12" s="338" t="s">
        <v>49</v>
      </c>
      <c r="B12" s="700" t="s">
        <v>56</v>
      </c>
      <c r="C12" s="701"/>
      <c r="D12" s="583">
        <v>10</v>
      </c>
      <c r="E12" s="584" t="str">
        <f>IF(('EntryData-ประถม&amp;มัธยม(ตบช.1-4)'!M28="Auto-calculate"),"Auto-calculate",'EntryData-ประถม&amp;มัธยม(ตบช.1-4)'!M28)</f>
        <v>Auto-calculate</v>
      </c>
      <c r="F12" s="585" t="str">
        <f>IF(('EntryData-ประถม&amp;มัธยม(ตบช.1-4)'!N28="Auto-calculate"),"Auto-calculate",'EntryData-ประถม&amp;มัธยม(ตบช.1-4)'!N28)</f>
        <v>Auto-calculate</v>
      </c>
      <c r="J12" s="387">
        <v>3</v>
      </c>
      <c r="K12" s="373">
        <f>IF(AND((E12&gt;=7.5),(E12&lt;&gt;"Auto-Calculate")),1,"")</f>
      </c>
      <c r="L12" s="373">
        <f>IF((E12&lt;=5.99),1,"")</f>
      </c>
      <c r="M12" s="405" t="s">
        <v>56</v>
      </c>
      <c r="N12" s="390"/>
    </row>
    <row r="13" spans="1:14" ht="41.25" customHeight="1">
      <c r="A13" s="338" t="s">
        <v>50</v>
      </c>
      <c r="B13" s="700" t="s">
        <v>787</v>
      </c>
      <c r="C13" s="701"/>
      <c r="D13" s="583">
        <v>10</v>
      </c>
      <c r="E13" s="584" t="str">
        <f>IF(('EntryData-ประถม&amp;มัธยม(ตบช.1-4)'!M35="Auto-calculate"),"Auto-calculate",'EntryData-ประถม&amp;มัธยม(ตบช.1-4)'!M35)</f>
        <v>Auto-calculate</v>
      </c>
      <c r="F13" s="585" t="str">
        <f>IF(('EntryData-ประถม&amp;มัธยม(ตบช.1-4)'!N35="Auto-calculate"),"Auto-calculate",'EntryData-ประถม&amp;มัธยม(ตบช.1-4)'!N35)</f>
        <v>Auto-calculate</v>
      </c>
      <c r="J13" s="387">
        <v>4</v>
      </c>
      <c r="K13" s="373">
        <f>IF(AND((E13&gt;=7.5),(E13&lt;&gt;"Auto-Calculate")),1,"")</f>
      </c>
      <c r="L13" s="373">
        <f>IF((E13&lt;=5.99),1,"")</f>
      </c>
      <c r="M13" s="405" t="s">
        <v>787</v>
      </c>
      <c r="N13" s="390"/>
    </row>
    <row r="14" spans="1:14" ht="41.25" customHeight="1">
      <c r="A14" s="338" t="s">
        <v>51</v>
      </c>
      <c r="B14" s="700" t="s">
        <v>790</v>
      </c>
      <c r="C14" s="701"/>
      <c r="D14" s="586">
        <v>20</v>
      </c>
      <c r="E14" s="584">
        <f>IF(('EntryData-ประถม&amp;มัธยม(ตบช.5)'!L10="Auto-calculate"),"Auto-calculate",'EntryData-ประถม&amp;มัธยม(ตบช.5)'!L10)</f>
        <v>2.5</v>
      </c>
      <c r="F14" s="585" t="str">
        <f>IF(('EntryData-ประถม&amp;มัธยม(ตบช.5)'!M10="Auto-calculate"),"Auto-calculate",'EntryData-ประถม&amp;มัธยม(ตบช.5)'!M10)</f>
        <v>ต้องปรับปรุงเร่งด่วน</v>
      </c>
      <c r="J14" s="387">
        <v>5</v>
      </c>
      <c r="K14" s="373">
        <f>IF(AND((E14&gt;=12),(E14&lt;&gt;"Auto-Calculate")),1,"")</f>
      </c>
      <c r="L14" s="373">
        <f>IF((E14&lt;=7.99),1,"")</f>
        <v>1</v>
      </c>
      <c r="M14" s="405" t="s">
        <v>790</v>
      </c>
      <c r="N14" s="390"/>
    </row>
    <row r="15" spans="1:14" ht="42" customHeight="1">
      <c r="A15" s="338" t="s">
        <v>52</v>
      </c>
      <c r="B15" s="700" t="s">
        <v>53</v>
      </c>
      <c r="C15" s="701"/>
      <c r="D15" s="583">
        <v>10</v>
      </c>
      <c r="E15" s="584" t="str">
        <f>IF(('EntryData-ประถม&amp;มัธยม(ตบช.6-12)'!E9="Auto-calculate"),"Auto-calculate",'EntryData-ประถม&amp;มัธยม(ตบช.6-12)'!E9)</f>
        <v>Auto-calculate</v>
      </c>
      <c r="F15" s="585" t="str">
        <f>IF(('EntryData-ประถม&amp;มัธยม(ตบช.6-12)'!F9="Auto-calculate"),"Auto-calculate",'EntryData-ประถม&amp;มัธยม(ตบช.6-12)'!F9)</f>
        <v>Auto-calculate</v>
      </c>
      <c r="J15" s="387">
        <v>6</v>
      </c>
      <c r="K15" s="373">
        <f>IF(AND((E15&gt;=7.5),(E15&lt;&gt;"Auto-Calculate")),1,"")</f>
      </c>
      <c r="L15" s="373">
        <f>IF((E15&lt;=5.99),1,"")</f>
      </c>
      <c r="M15" s="405" t="s">
        <v>53</v>
      </c>
      <c r="N15" s="390"/>
    </row>
    <row r="16" spans="1:14" ht="42" customHeight="1">
      <c r="A16" s="338" t="s">
        <v>54</v>
      </c>
      <c r="B16" s="700" t="s">
        <v>876</v>
      </c>
      <c r="C16" s="701"/>
      <c r="D16" s="583">
        <v>5</v>
      </c>
      <c r="E16" s="584" t="str">
        <f>IF(('EntryData-ประถม&amp;มัธยม(ตบช.6-12)'!E19="Auto-calculate"),"Auto-calculate",'EntryData-ประถม&amp;มัธยม(ตบช.6-12)'!E19)</f>
        <v>Auto-calculate</v>
      </c>
      <c r="F16" s="585" t="str">
        <f>IF(('EntryData-ประถม&amp;มัธยม(ตบช.6-12)'!F19="Auto-calculate"),"Auto-calculate",'EntryData-ประถม&amp;มัธยม(ตบช.6-12)'!F19)</f>
        <v>Auto-calculate</v>
      </c>
      <c r="J16" s="387">
        <v>7</v>
      </c>
      <c r="K16" s="373">
        <f>IF(AND((E16&gt;=3.75),(E16&lt;&gt;"Auto-Calculate")),1,"")</f>
      </c>
      <c r="L16" s="373">
        <f>IF((E16&lt;=2.99),1,"")</f>
      </c>
      <c r="M16" s="405" t="s">
        <v>876</v>
      </c>
      <c r="N16" s="390"/>
    </row>
    <row r="17" spans="1:19" s="277" customFormat="1" ht="42" customHeight="1" thickBot="1">
      <c r="A17" s="339" t="s">
        <v>55</v>
      </c>
      <c r="B17" s="720" t="s">
        <v>892</v>
      </c>
      <c r="C17" s="721"/>
      <c r="D17" s="587">
        <v>5</v>
      </c>
      <c r="E17" s="588" t="str">
        <f>IF(('EntryData-ประถม&amp;มัธยม(ตบช.6-12)'!E64="Auto-calculate"),"Auto-calculate",'EntryData-ประถม&amp;มัธยม(ตบช.6-12)'!E64)</f>
        <v>Auto-calculate</v>
      </c>
      <c r="F17" s="589" t="str">
        <f>IF(('EntryData-ประถม&amp;มัธยม(ตบช.6-12)'!F64="Auto-calculate"),"Auto-calculate",'EntryData-ประถม&amp;มัธยม(ตบช.6-12)'!F64)</f>
        <v>Auto-calculate</v>
      </c>
      <c r="J17" s="388">
        <v>8</v>
      </c>
      <c r="K17" s="373">
        <f>IF(AND((E17&gt;=3.75),(E17&lt;&gt;"Auto-Calculate")),1,"")</f>
      </c>
      <c r="L17" s="373">
        <f>IF((E17&lt;=2.99),1,"")</f>
      </c>
      <c r="M17" s="405" t="s">
        <v>892</v>
      </c>
      <c r="N17" s="391"/>
      <c r="O17" s="398"/>
      <c r="P17" s="398"/>
      <c r="Q17" s="398"/>
      <c r="R17" s="398"/>
      <c r="S17" s="398"/>
    </row>
    <row r="18" spans="1:13" ht="23.25">
      <c r="A18" s="269" t="s">
        <v>833</v>
      </c>
      <c r="B18" s="269"/>
      <c r="C18" s="336"/>
      <c r="D18" s="597"/>
      <c r="E18" s="598"/>
      <c r="F18" s="599"/>
      <c r="J18" s="373"/>
      <c r="K18" s="373"/>
      <c r="L18" s="373"/>
      <c r="M18" s="410"/>
    </row>
    <row r="19" spans="1:14" ht="42" customHeight="1">
      <c r="A19" s="338" t="s">
        <v>57</v>
      </c>
      <c r="B19" s="771" t="s">
        <v>558</v>
      </c>
      <c r="C19" s="701"/>
      <c r="D19" s="583">
        <v>5</v>
      </c>
      <c r="E19" s="584" t="str">
        <f>IF(('EntryData-ประถม&amp;มัธยม(ตบช.6-12)'!E75="Auto-calculate"),"Auto-calculate",'EntryData-ประถม&amp;มัธยม(ตบช.6-12)'!E75)</f>
        <v>Auto-calculate</v>
      </c>
      <c r="F19" s="585" t="str">
        <f>IF(('EntryData-ประถม&amp;มัธยม(ตบช.6-12)'!F75="Auto-calculate"),"Auto-calculate",'EntryData-ประถม&amp;มัธยม(ตบช.6-12)'!F75)</f>
        <v>Auto-calculate</v>
      </c>
      <c r="J19" s="387">
        <v>9</v>
      </c>
      <c r="K19" s="373">
        <f>IF(AND((E19&gt;=4),(E19&lt;&gt;"Auto-Calculate")),1,"")</f>
      </c>
      <c r="L19" s="373">
        <f>IF((E19&lt;=2),1,"")</f>
      </c>
      <c r="M19" s="670" t="s">
        <v>558</v>
      </c>
      <c r="N19" s="390"/>
    </row>
    <row r="20" spans="1:14" ht="42" customHeight="1" thickBot="1">
      <c r="A20" s="353" t="s">
        <v>58</v>
      </c>
      <c r="B20" s="705" t="s">
        <v>660</v>
      </c>
      <c r="C20" s="706"/>
      <c r="D20" s="590">
        <v>5</v>
      </c>
      <c r="E20" s="591" t="str">
        <f>IF(('EntryData-ประถม&amp;มัธยม(ตบช.6-12)'!E81="Auto-calculate"),"Auto-calculate",'EntryData-ประถม&amp;มัธยม(ตบช.6-12)'!E81)</f>
        <v>Auto-calculate</v>
      </c>
      <c r="F20" s="592" t="str">
        <f>IF(('EntryData-ประถม&amp;มัธยม(ตบช.6-12)'!F81="Auto-calculate"),"Auto-calculate",'EntryData-ประถม&amp;มัธยม(ตบช.6-12)'!F81)</f>
        <v>Auto-calculate</v>
      </c>
      <c r="J20" s="387">
        <v>10</v>
      </c>
      <c r="K20" s="373">
        <f>IF(AND((E20&gt;=4),(E20&lt;&gt;"Auto-Calculate")),1,"")</f>
      </c>
      <c r="L20" s="373">
        <f>IF((E20&lt;=2),1,"")</f>
      </c>
      <c r="M20" s="405" t="s">
        <v>660</v>
      </c>
      <c r="N20" s="390"/>
    </row>
    <row r="21" spans="1:14" ht="23.25">
      <c r="A21" s="346" t="s">
        <v>834</v>
      </c>
      <c r="B21" s="346"/>
      <c r="C21" s="347"/>
      <c r="D21" s="600"/>
      <c r="E21" s="601"/>
      <c r="F21" s="602"/>
      <c r="J21" s="373"/>
      <c r="K21" s="373"/>
      <c r="L21" s="373"/>
      <c r="M21" s="411"/>
      <c r="N21" s="403"/>
    </row>
    <row r="22" spans="1:14" ht="42" customHeight="1">
      <c r="A22" s="268" t="s">
        <v>60</v>
      </c>
      <c r="B22" s="700" t="s">
        <v>61</v>
      </c>
      <c r="C22" s="701"/>
      <c r="D22" s="583">
        <v>5</v>
      </c>
      <c r="E22" s="584" t="str">
        <f>IF(('EntryData-ประถม&amp;มัธยม(ตบช.6-12)'!E87="Auto-calculate"),"Auto-calculate",'EntryData-ประถม&amp;มัธยม(ตบช.6-12)'!E87)</f>
        <v>Auto-calculate</v>
      </c>
      <c r="F22" s="585" t="str">
        <f>IF(('EntryData-ประถม&amp;มัธยม(ตบช.6-12)'!F87="Auto-calculate"),"Auto-calculate",'EntryData-ประถม&amp;มัธยม(ตบช.6-12)'!F87)</f>
        <v>Auto-calculate</v>
      </c>
      <c r="J22" s="387">
        <v>11</v>
      </c>
      <c r="K22" s="373">
        <f>IF(AND((E22&gt;=3.75),(E22&lt;&gt;"Auto-Calculate")),1,"")</f>
      </c>
      <c r="L22" s="373">
        <f>IF((E22&lt;=2.99),1,"")</f>
      </c>
      <c r="M22" s="405" t="s">
        <v>61</v>
      </c>
      <c r="N22" s="390"/>
    </row>
    <row r="23" spans="1:14" ht="66.75" customHeight="1" thickBot="1">
      <c r="A23" s="370" t="s">
        <v>62</v>
      </c>
      <c r="B23" s="779" t="s">
        <v>559</v>
      </c>
      <c r="C23" s="706"/>
      <c r="D23" s="590">
        <v>5</v>
      </c>
      <c r="E23" s="591" t="str">
        <f>IF(('EntryData-ประถม&amp;มัธยม(ตบช.6-12)'!E94="Auto-calculate"),"Auto-calculate",'EntryData-ประถม&amp;มัธยม(ตบช.6-12)'!E94)</f>
        <v>Auto-calculate</v>
      </c>
      <c r="F23" s="592" t="str">
        <f>IF(('EntryData-ประถม&amp;มัธยม(ตบช.6-12)'!F94="Auto-calculate"),"Auto-calculate",'EntryData-ประถม&amp;มัธยม(ตบช.6-12)'!F94)</f>
        <v>Auto-calculate</v>
      </c>
      <c r="J23" s="387">
        <v>12</v>
      </c>
      <c r="K23" s="373">
        <f>IF(AND((E23&gt;=4),(E23&lt;&gt;"Auto-Calculate")),1,"")</f>
      </c>
      <c r="L23" s="373">
        <f>IF((E23&lt;=2),1,"")</f>
      </c>
      <c r="M23" s="670" t="s">
        <v>559</v>
      </c>
      <c r="N23" s="390"/>
    </row>
    <row r="24" spans="1:13" ht="43.5" customHeight="1" thickBot="1">
      <c r="A24" s="708" t="s">
        <v>696</v>
      </c>
      <c r="B24" s="709"/>
      <c r="C24" s="710"/>
      <c r="D24" s="593">
        <f>SUM(D10:D23)</f>
        <v>100</v>
      </c>
      <c r="E24" s="594">
        <f>IF(COUNTIF(E10:E23,"Auto-calculate")&lt;12,SUM(E10:E23),"Auto-calculate")</f>
        <v>2.5</v>
      </c>
      <c r="F24" s="369" t="str">
        <f>IF(OR((ISERROR(E24)="True"),(E24="Auto-calculate")),"Auto-calculate",IF((E24&gt;=90),"ดีมาก",IF((E24&gt;=75),"ดี",IF((E24&gt;=60),"พอใช้",IF((E24&gt;=50),"ต้องปรับปรุง",IF((E24&gt;=0),"ต้องปรับปรุงเร่งด่วน"))))))</f>
        <v>ต้องปรับปรุงเร่งด่วน</v>
      </c>
      <c r="J24" s="373" t="s">
        <v>825</v>
      </c>
      <c r="K24" s="373">
        <f>SUM(K10:K23)</f>
        <v>0</v>
      </c>
      <c r="L24" s="373">
        <f>SUM(L10:L23)</f>
        <v>1</v>
      </c>
      <c r="M24" s="404"/>
    </row>
    <row r="25" spans="1:19" s="277" customFormat="1" ht="4.5" customHeight="1">
      <c r="A25" s="272"/>
      <c r="B25" s="272"/>
      <c r="C25" s="273"/>
      <c r="D25" s="274"/>
      <c r="E25" s="273"/>
      <c r="F25" s="274"/>
      <c r="G25" s="273"/>
      <c r="J25" s="350"/>
      <c r="K25" s="275"/>
      <c r="L25" s="276"/>
      <c r="M25" s="397"/>
      <c r="N25" s="398"/>
      <c r="O25" s="398"/>
      <c r="P25" s="398"/>
      <c r="Q25" s="398"/>
      <c r="R25" s="398"/>
      <c r="S25" s="398"/>
    </row>
    <row r="26" spans="1:19" s="277" customFormat="1" ht="21">
      <c r="A26" s="707" t="s">
        <v>745</v>
      </c>
      <c r="B26" s="707"/>
      <c r="C26" s="707"/>
      <c r="D26" s="707"/>
      <c r="E26" s="381" t="str">
        <f>IF((E24="Auto-calculate"),"Auto-calculate",IF((E24&gt;=80),"ใช่","ไม่ใช่"))</f>
        <v>ไม่ใช่</v>
      </c>
      <c r="I26" s="275"/>
      <c r="J26" s="276"/>
      <c r="M26" s="397"/>
      <c r="N26" s="398"/>
      <c r="O26" s="398"/>
      <c r="P26" s="398"/>
      <c r="Q26" s="398"/>
      <c r="R26" s="398"/>
      <c r="S26" s="398"/>
    </row>
    <row r="27" spans="1:19" s="277" customFormat="1" ht="21">
      <c r="A27" s="707" t="s">
        <v>746</v>
      </c>
      <c r="B27" s="707"/>
      <c r="C27" s="707"/>
      <c r="D27" s="707"/>
      <c r="E27" s="381" t="str">
        <f>IF((E24="Auto-calculate"),"Auto-calculate",IF((K24&gt;=10),"ใช่","ไม่ใช่"))</f>
        <v>ไม่ใช่</v>
      </c>
      <c r="I27" s="275"/>
      <c r="J27" s="276"/>
      <c r="M27" s="397"/>
      <c r="N27" s="398"/>
      <c r="O27" s="398"/>
      <c r="P27" s="398"/>
      <c r="Q27" s="398"/>
      <c r="R27" s="398"/>
      <c r="S27" s="398"/>
    </row>
    <row r="28" spans="1:19" s="277" customFormat="1" ht="21">
      <c r="A28" s="707" t="s">
        <v>747</v>
      </c>
      <c r="B28" s="707"/>
      <c r="C28" s="707"/>
      <c r="D28" s="707"/>
      <c r="E28" s="381" t="str">
        <f>IF((E24="Auto-calculate"),"Auto-calculate",IF((L24=0),"ใช่","ไม่ใช่"))</f>
        <v>ไม่ใช่</v>
      </c>
      <c r="I28" s="275"/>
      <c r="J28" s="276"/>
      <c r="M28" s="397"/>
      <c r="N28" s="398"/>
      <c r="O28" s="398"/>
      <c r="P28" s="398"/>
      <c r="Q28" s="398"/>
      <c r="R28" s="398"/>
      <c r="S28" s="398"/>
    </row>
    <row r="29" spans="1:19" s="277" customFormat="1" ht="11.25" customHeight="1">
      <c r="A29" s="278"/>
      <c r="B29" s="278"/>
      <c r="C29" s="307"/>
      <c r="D29" s="279"/>
      <c r="I29" s="275"/>
      <c r="J29" s="276"/>
      <c r="M29" s="397"/>
      <c r="N29" s="398"/>
      <c r="O29" s="398"/>
      <c r="P29" s="398"/>
      <c r="Q29" s="398"/>
      <c r="R29" s="398"/>
      <c r="S29" s="398"/>
    </row>
    <row r="30" spans="1:19" s="277" customFormat="1" ht="21.75">
      <c r="A30" s="711" t="s">
        <v>835</v>
      </c>
      <c r="B30" s="711"/>
      <c r="C30" s="711"/>
      <c r="D30" s="711"/>
      <c r="E30" s="374"/>
      <c r="F30" s="375"/>
      <c r="I30" s="275"/>
      <c r="J30" s="276"/>
      <c r="M30" s="397"/>
      <c r="N30" s="398"/>
      <c r="O30" s="398"/>
      <c r="P30" s="398"/>
      <c r="Q30" s="398"/>
      <c r="R30" s="398"/>
      <c r="S30" s="398"/>
    </row>
    <row r="31" spans="1:19" s="277" customFormat="1" ht="12.75" customHeight="1">
      <c r="A31" s="278"/>
      <c r="B31" s="278"/>
      <c r="I31" s="275"/>
      <c r="J31" s="276"/>
      <c r="M31" s="397"/>
      <c r="N31" s="398"/>
      <c r="O31" s="398"/>
      <c r="P31" s="398"/>
      <c r="Q31" s="398"/>
      <c r="R31" s="398"/>
      <c r="S31" s="398"/>
    </row>
    <row r="32" spans="1:8" ht="21.75" customHeight="1">
      <c r="A32" s="377">
        <f>IF((E24="Auto-calculate"),"",IF(AND((E26="ใช่"),(E27="ใช่"),(E28="ใช่")),"þ",""))</f>
      </c>
      <c r="B32" s="376" t="s">
        <v>748</v>
      </c>
      <c r="C32" s="377" t="str">
        <f>IF((E24="Auto-calculate"),"",IF(OR((E26="ไม่ใช่"),(E27="ไม่ใช่"),(E28="ไม่ใช่")),"þ",""))</f>
        <v>þ</v>
      </c>
      <c r="D32" s="376" t="s">
        <v>749</v>
      </c>
      <c r="F32" s="282"/>
      <c r="G32" s="264"/>
      <c r="H32" s="282"/>
    </row>
    <row r="33" spans="3:8" ht="30" customHeight="1">
      <c r="C33" s="280"/>
      <c r="D33" s="264"/>
      <c r="E33" s="273"/>
      <c r="F33" s="282"/>
      <c r="G33" s="281"/>
      <c r="H33" s="282"/>
    </row>
    <row r="34" spans="1:2" ht="21.75" customHeight="1">
      <c r="A34" s="293" t="s">
        <v>687</v>
      </c>
      <c r="B34" s="293"/>
    </row>
    <row r="35" spans="1:2" ht="6.75" customHeight="1" thickBot="1">
      <c r="A35" s="293"/>
      <c r="B35" s="293"/>
    </row>
    <row r="36" spans="1:13" ht="24.75" customHeight="1">
      <c r="A36" s="717" t="s">
        <v>836</v>
      </c>
      <c r="B36" s="718"/>
      <c r="C36" s="719"/>
      <c r="D36" s="342" t="s">
        <v>644</v>
      </c>
      <c r="E36" s="343" t="s">
        <v>830</v>
      </c>
      <c r="F36" s="344" t="s">
        <v>818</v>
      </c>
      <c r="G36" s="265"/>
      <c r="H36" s="266"/>
      <c r="I36" s="266"/>
      <c r="J36" s="263"/>
      <c r="K36" s="267"/>
      <c r="M36" s="396"/>
    </row>
    <row r="37" spans="1:13" ht="24.75" customHeight="1" thickBot="1">
      <c r="A37" s="712" t="s">
        <v>63</v>
      </c>
      <c r="B37" s="713"/>
      <c r="C37" s="714"/>
      <c r="D37" s="345" t="s">
        <v>831</v>
      </c>
      <c r="E37" s="340"/>
      <c r="F37" s="341" t="s">
        <v>819</v>
      </c>
      <c r="K37" s="266"/>
      <c r="L37" s="266"/>
      <c r="M37" s="396"/>
    </row>
    <row r="38" spans="1:13" ht="21" customHeight="1">
      <c r="A38" s="346" t="s">
        <v>40</v>
      </c>
      <c r="B38" s="352" t="s">
        <v>64</v>
      </c>
      <c r="C38" s="347"/>
      <c r="D38" s="348"/>
      <c r="E38" s="349"/>
      <c r="F38" s="289"/>
      <c r="K38" s="266"/>
      <c r="L38" s="266"/>
      <c r="M38" s="396"/>
    </row>
    <row r="39" spans="1:19" s="277" customFormat="1" ht="21" customHeight="1">
      <c r="A39" s="310" t="s">
        <v>832</v>
      </c>
      <c r="B39" s="310"/>
      <c r="C39" s="351"/>
      <c r="D39" s="311"/>
      <c r="E39" s="312"/>
      <c r="F39" s="313"/>
      <c r="G39" s="350"/>
      <c r="J39" s="350"/>
      <c r="K39" s="276"/>
      <c r="L39" s="276"/>
      <c r="M39" s="398"/>
      <c r="N39" s="398"/>
      <c r="O39" s="398"/>
      <c r="P39" s="398"/>
      <c r="Q39" s="398"/>
      <c r="R39" s="398"/>
      <c r="S39" s="398"/>
    </row>
    <row r="40" spans="1:13" ht="40.5" customHeight="1">
      <c r="A40" s="338" t="s">
        <v>47</v>
      </c>
      <c r="B40" s="335" t="s">
        <v>643</v>
      </c>
      <c r="C40" s="337"/>
      <c r="D40" s="583">
        <v>10</v>
      </c>
      <c r="E40" s="584" t="str">
        <f>IF(('EntryData-ประถม&amp;มัธยม(ตบช.1-4)'!M13="Auto-calculate"),"Auto-calculate",'EntryData-ประถม&amp;มัธยม(ตบช.1-4)'!M13)</f>
        <v>Auto-calculate</v>
      </c>
      <c r="F40" s="585" t="str">
        <f>IF(('EntryData-ประถม&amp;มัธยม(ตบช.1-4)'!N13="Auto-calculate"),"Auto-calculate",'EntryData-ประถม&amp;มัธยม(ตบช.1-4)'!N13)</f>
        <v>Auto-calculate</v>
      </c>
      <c r="K40" s="266"/>
      <c r="L40" s="266"/>
      <c r="M40" s="396"/>
    </row>
    <row r="41" spans="1:13" ht="40.5" customHeight="1">
      <c r="A41" s="338" t="s">
        <v>48</v>
      </c>
      <c r="B41" s="700" t="s">
        <v>779</v>
      </c>
      <c r="C41" s="701"/>
      <c r="D41" s="583">
        <v>10</v>
      </c>
      <c r="E41" s="584" t="str">
        <f>IF(('EntryData-ประถม&amp;มัธยม(ตบช.1-4)'!M19="Auto-calculate"),"Auto-calculate",'EntryData-ประถม&amp;มัธยม(ตบช.1-4)'!M19)</f>
        <v>Auto-calculate</v>
      </c>
      <c r="F41" s="585" t="str">
        <f>IF(('EntryData-ประถม&amp;มัธยม(ตบช.1-4)'!N19="Auto-calculate"),"Auto-calculate",'EntryData-ประถม&amp;มัธยม(ตบช.1-4)'!N19)</f>
        <v>Auto-calculate</v>
      </c>
      <c r="K41" s="266"/>
      <c r="L41" s="266"/>
      <c r="M41" s="396"/>
    </row>
    <row r="42" spans="1:13" ht="40.5" customHeight="1">
      <c r="A42" s="338" t="s">
        <v>49</v>
      </c>
      <c r="B42" s="700" t="s">
        <v>56</v>
      </c>
      <c r="C42" s="701"/>
      <c r="D42" s="583">
        <v>10</v>
      </c>
      <c r="E42" s="584" t="str">
        <f>IF(('EntryData-ประถม&amp;มัธยม(ตบช.1-4)'!M28="Auto-calculate"),"Auto-calculate",'EntryData-ประถม&amp;มัธยม(ตบช.1-4)'!M28)</f>
        <v>Auto-calculate</v>
      </c>
      <c r="F42" s="585" t="str">
        <f>IF(('EntryData-ประถม&amp;มัธยม(ตบช.1-4)'!N28="Auto-calculate"),"Auto-calculate",'EntryData-ประถม&amp;มัธยม(ตบช.1-4)'!N28)</f>
        <v>Auto-calculate</v>
      </c>
      <c r="K42" s="266"/>
      <c r="L42" s="266"/>
      <c r="M42" s="396"/>
    </row>
    <row r="43" spans="1:13" ht="40.5" customHeight="1">
      <c r="A43" s="338" t="s">
        <v>50</v>
      </c>
      <c r="B43" s="335" t="s">
        <v>787</v>
      </c>
      <c r="C43" s="337"/>
      <c r="D43" s="583">
        <v>10</v>
      </c>
      <c r="E43" s="584" t="str">
        <f>IF(('EntryData-ประถม&amp;มัธยม(ตบช.1-4)'!M35="Auto-calculate"),"Auto-calculate",'EntryData-ประถม&amp;มัธยม(ตบช.1-4)'!M35)</f>
        <v>Auto-calculate</v>
      </c>
      <c r="F43" s="585" t="str">
        <f>IF(('EntryData-ประถม&amp;มัธยม(ตบช.1-4)'!N35="Auto-calculate"),"Auto-calculate",'EntryData-ประถม&amp;มัธยม(ตบช.1-4)'!N35)</f>
        <v>Auto-calculate</v>
      </c>
      <c r="K43" s="266"/>
      <c r="L43" s="266"/>
      <c r="M43" s="396"/>
    </row>
    <row r="44" spans="1:13" ht="40.5" customHeight="1">
      <c r="A44" s="338" t="s">
        <v>51</v>
      </c>
      <c r="B44" s="335" t="s">
        <v>790</v>
      </c>
      <c r="C44" s="337"/>
      <c r="D44" s="586">
        <v>20</v>
      </c>
      <c r="E44" s="584">
        <f>IF(('EntryData-ประถม&amp;มัธยม(ตบช.5)'!L10="Auto-calculate"),"Auto-calculate",'EntryData-ประถม&amp;มัธยม(ตบช.5)'!L10)</f>
        <v>2.5</v>
      </c>
      <c r="F44" s="585" t="str">
        <f>IF(('EntryData-ประถม&amp;มัธยม(ตบช.5)'!M10="Auto-calculate"),"Auto-calculate",'EntryData-ประถม&amp;มัธยม(ตบช.5)'!M10)</f>
        <v>ต้องปรับปรุงเร่งด่วน</v>
      </c>
      <c r="K44" s="266"/>
      <c r="L44" s="266"/>
      <c r="M44" s="396"/>
    </row>
    <row r="45" spans="1:19" s="277" customFormat="1" ht="21" customHeight="1">
      <c r="A45" s="310" t="s">
        <v>833</v>
      </c>
      <c r="B45" s="310"/>
      <c r="C45" s="351"/>
      <c r="D45" s="603"/>
      <c r="E45" s="604"/>
      <c r="F45" s="605"/>
      <c r="G45" s="350"/>
      <c r="J45" s="350"/>
      <c r="K45" s="276"/>
      <c r="L45" s="276"/>
      <c r="M45" s="398"/>
      <c r="N45" s="398"/>
      <c r="O45" s="398"/>
      <c r="P45" s="398"/>
      <c r="Q45" s="398"/>
      <c r="R45" s="398"/>
      <c r="S45" s="398"/>
    </row>
    <row r="46" spans="1:13" ht="42" customHeight="1">
      <c r="A46" s="338" t="s">
        <v>57</v>
      </c>
      <c r="B46" s="771" t="s">
        <v>1036</v>
      </c>
      <c r="C46" s="701"/>
      <c r="D46" s="583">
        <v>5</v>
      </c>
      <c r="E46" s="584" t="str">
        <f>IF(('EntryData-ประถม&amp;มัธยม(ตบช.6-12)'!E75="Auto-calculate"),"Auto-calculate",'EntryData-ประถม&amp;มัธยม(ตบช.6-12)'!E75)</f>
        <v>Auto-calculate</v>
      </c>
      <c r="F46" s="585" t="str">
        <f>IF(('EntryData-ประถม&amp;มัธยม(ตบช.6-12)'!F75="Auto-calculate"),"Auto-calculate",'EntryData-ประถม&amp;มัธยม(ตบช.6-12)'!F75)</f>
        <v>Auto-calculate</v>
      </c>
      <c r="K46" s="266"/>
      <c r="L46" s="266"/>
      <c r="M46" s="396"/>
    </row>
    <row r="47" spans="1:13" ht="42" customHeight="1">
      <c r="A47" s="338" t="s">
        <v>58</v>
      </c>
      <c r="B47" s="700" t="s">
        <v>59</v>
      </c>
      <c r="C47" s="706"/>
      <c r="D47" s="590">
        <v>5</v>
      </c>
      <c r="E47" s="584" t="str">
        <f>IF(('EntryData-ประถม&amp;มัธยม(ตบช.6-12)'!E81="Auto-calculate"),"Auto-calculate",'EntryData-ประถม&amp;มัธยม(ตบช.6-12)'!E81)</f>
        <v>Auto-calculate</v>
      </c>
      <c r="F47" s="585" t="str">
        <f>IF(('EntryData-ประถม&amp;มัธยม(ตบช.6-12)'!F81="Auto-calculate"),"Auto-calculate",'EntryData-ประถม&amp;มัธยม(ตบช.6-12)'!F81)</f>
        <v>Auto-calculate</v>
      </c>
      <c r="K47" s="266"/>
      <c r="L47" s="266"/>
      <c r="M47" s="396"/>
    </row>
    <row r="48" spans="1:19" s="277" customFormat="1" ht="21" customHeight="1">
      <c r="A48" s="310" t="s">
        <v>834</v>
      </c>
      <c r="B48" s="310"/>
      <c r="C48" s="351"/>
      <c r="D48" s="603"/>
      <c r="E48" s="604"/>
      <c r="F48" s="605"/>
      <c r="G48" s="350"/>
      <c r="J48" s="350"/>
      <c r="K48" s="276"/>
      <c r="L48" s="276"/>
      <c r="M48" s="398"/>
      <c r="N48" s="398"/>
      <c r="O48" s="398"/>
      <c r="P48" s="398"/>
      <c r="Q48" s="398"/>
      <c r="R48" s="398"/>
      <c r="S48" s="398"/>
    </row>
    <row r="49" spans="1:13" ht="42" customHeight="1" thickBot="1">
      <c r="A49" s="332" t="s">
        <v>60</v>
      </c>
      <c r="B49" s="700" t="s">
        <v>61</v>
      </c>
      <c r="C49" s="701"/>
      <c r="D49" s="583">
        <v>5</v>
      </c>
      <c r="E49" s="584" t="str">
        <f>IF(('EntryData-ประถม&amp;มัธยม(ตบช.6-12)'!E87="Auto-calculate"),"Auto-calculate",'EntryData-ประถม&amp;มัธยม(ตบช.6-12)'!E87)</f>
        <v>Auto-calculate</v>
      </c>
      <c r="F49" s="585" t="str">
        <f>IF(('EntryData-ประถม&amp;มัธยม(ตบช.6-12)'!F87="Auto-calculate"),"Auto-calculate",'EntryData-ประถม&amp;มัธยม(ตบช.6-12)'!F87)</f>
        <v>Auto-calculate</v>
      </c>
      <c r="K49" s="266"/>
      <c r="L49" s="266"/>
      <c r="M49" s="396"/>
    </row>
    <row r="50" spans="1:13" ht="21" customHeight="1">
      <c r="A50" s="346" t="s">
        <v>41</v>
      </c>
      <c r="B50" s="352" t="s">
        <v>65</v>
      </c>
      <c r="C50" s="347"/>
      <c r="D50" s="606"/>
      <c r="E50" s="607"/>
      <c r="F50" s="608"/>
      <c r="K50" s="266"/>
      <c r="L50" s="266"/>
      <c r="M50" s="396"/>
    </row>
    <row r="51" spans="1:19" s="277" customFormat="1" ht="21" customHeight="1">
      <c r="A51" s="310" t="s">
        <v>832</v>
      </c>
      <c r="B51" s="310"/>
      <c r="C51" s="351"/>
      <c r="D51" s="603"/>
      <c r="E51" s="604"/>
      <c r="F51" s="605"/>
      <c r="G51" s="350"/>
      <c r="J51" s="350"/>
      <c r="K51" s="276"/>
      <c r="L51" s="276"/>
      <c r="M51" s="398"/>
      <c r="N51" s="398"/>
      <c r="O51" s="398"/>
      <c r="P51" s="398"/>
      <c r="Q51" s="398"/>
      <c r="R51" s="398"/>
      <c r="S51" s="398"/>
    </row>
    <row r="52" spans="1:13" ht="42" customHeight="1">
      <c r="A52" s="338" t="s">
        <v>54</v>
      </c>
      <c r="B52" s="700" t="s">
        <v>876</v>
      </c>
      <c r="C52" s="701"/>
      <c r="D52" s="583">
        <v>5</v>
      </c>
      <c r="E52" s="584" t="str">
        <f>IF(('EntryData-ประถม&amp;มัธยม(ตบช.6-12)'!E19="Auto-calculate"),"Auto-calculate",'EntryData-ประถม&amp;มัธยม(ตบช.6-12)'!E19)</f>
        <v>Auto-calculate</v>
      </c>
      <c r="F52" s="585" t="str">
        <f>IF(('EntryData-ประถม&amp;มัธยม(ตบช.6-12)'!F19="Auto-calculate"),"Auto-calculate",'EntryData-ประถม&amp;มัธยม(ตบช.6-12)'!F19)</f>
        <v>Auto-calculate</v>
      </c>
      <c r="K52" s="266"/>
      <c r="L52" s="266"/>
      <c r="M52" s="396"/>
    </row>
    <row r="53" spans="1:19" s="277" customFormat="1" ht="21" customHeight="1">
      <c r="A53" s="310" t="s">
        <v>834</v>
      </c>
      <c r="B53" s="310"/>
      <c r="C53" s="351"/>
      <c r="D53" s="603"/>
      <c r="E53" s="604"/>
      <c r="F53" s="605"/>
      <c r="G53" s="350"/>
      <c r="J53" s="350"/>
      <c r="K53" s="276"/>
      <c r="L53" s="276"/>
      <c r="M53" s="398"/>
      <c r="N53" s="398"/>
      <c r="O53" s="398"/>
      <c r="P53" s="398"/>
      <c r="Q53" s="398"/>
      <c r="R53" s="398"/>
      <c r="S53" s="398"/>
    </row>
    <row r="54" spans="1:13" ht="66.75" customHeight="1" thickBot="1">
      <c r="A54" s="268" t="s">
        <v>62</v>
      </c>
      <c r="B54" s="771" t="s">
        <v>1037</v>
      </c>
      <c r="C54" s="701"/>
      <c r="D54" s="583">
        <v>5</v>
      </c>
      <c r="E54" s="584" t="str">
        <f>IF(('EntryData-ประถม&amp;มัธยม(ตบช.6-12)'!E94="Auto-calculate"),"Auto-calculate",'EntryData-ประถม&amp;มัธยม(ตบช.6-12)'!E94)</f>
        <v>Auto-calculate</v>
      </c>
      <c r="F54" s="585" t="str">
        <f>IF(('EntryData-ประถม&amp;มัธยม(ตบช.6-12)'!F94="Auto-calculate"),"Auto-calculate",'EntryData-ประถม&amp;มัธยม(ตบช.6-12)'!F94)</f>
        <v>Auto-calculate</v>
      </c>
      <c r="K54" s="266"/>
      <c r="L54" s="266"/>
      <c r="M54" s="396"/>
    </row>
    <row r="55" spans="1:13" ht="21" customHeight="1">
      <c r="A55" s="346" t="s">
        <v>66</v>
      </c>
      <c r="B55" s="352" t="s">
        <v>67</v>
      </c>
      <c r="C55" s="347"/>
      <c r="D55" s="606"/>
      <c r="E55" s="607"/>
      <c r="F55" s="608"/>
      <c r="K55" s="266"/>
      <c r="L55" s="266"/>
      <c r="M55" s="396"/>
    </row>
    <row r="56" spans="1:19" s="277" customFormat="1" ht="21" customHeight="1">
      <c r="A56" s="310" t="s">
        <v>832</v>
      </c>
      <c r="B56" s="310"/>
      <c r="C56" s="351"/>
      <c r="D56" s="603"/>
      <c r="E56" s="604"/>
      <c r="F56" s="605"/>
      <c r="G56" s="350"/>
      <c r="J56" s="350"/>
      <c r="K56" s="276"/>
      <c r="L56" s="276"/>
      <c r="M56" s="398"/>
      <c r="N56" s="398"/>
      <c r="O56" s="398"/>
      <c r="P56" s="398"/>
      <c r="Q56" s="398"/>
      <c r="R56" s="398"/>
      <c r="S56" s="398"/>
    </row>
    <row r="57" spans="1:13" ht="42" customHeight="1" thickBot="1">
      <c r="A57" s="338" t="s">
        <v>52</v>
      </c>
      <c r="B57" s="700" t="s">
        <v>53</v>
      </c>
      <c r="C57" s="701"/>
      <c r="D57" s="583">
        <v>10</v>
      </c>
      <c r="E57" s="584" t="str">
        <f>IF(('EntryData-ประถม&amp;มัธยม(ตบช.6-12)'!E9="Auto-calculate"),"Auto-calculate",'EntryData-ประถม&amp;มัธยม(ตบช.6-12)'!E9)</f>
        <v>Auto-calculate</v>
      </c>
      <c r="F57" s="585" t="str">
        <f>IF(('EntryData-ประถม&amp;มัธยม(ตบช.6-12)'!F9="Auto-calculate"),"Auto-calculate",'EntryData-ประถม&amp;มัธยม(ตบช.6-12)'!F9)</f>
        <v>Auto-calculate</v>
      </c>
      <c r="K57" s="266"/>
      <c r="L57" s="266"/>
      <c r="M57" s="396"/>
    </row>
    <row r="58" spans="1:13" ht="21" customHeight="1">
      <c r="A58" s="346" t="s">
        <v>68</v>
      </c>
      <c r="B58" s="352" t="s">
        <v>69</v>
      </c>
      <c r="C58" s="347"/>
      <c r="D58" s="606"/>
      <c r="E58" s="607"/>
      <c r="F58" s="608"/>
      <c r="K58" s="266"/>
      <c r="L58" s="266"/>
      <c r="M58" s="396"/>
    </row>
    <row r="59" spans="1:19" s="277" customFormat="1" ht="21" customHeight="1">
      <c r="A59" s="310" t="s">
        <v>832</v>
      </c>
      <c r="B59" s="310"/>
      <c r="C59" s="351"/>
      <c r="D59" s="603"/>
      <c r="E59" s="604"/>
      <c r="F59" s="605"/>
      <c r="G59" s="350"/>
      <c r="J59" s="350"/>
      <c r="K59" s="276"/>
      <c r="L59" s="276"/>
      <c r="M59" s="398"/>
      <c r="N59" s="398"/>
      <c r="O59" s="398"/>
      <c r="P59" s="398"/>
      <c r="Q59" s="398"/>
      <c r="R59" s="398"/>
      <c r="S59" s="398"/>
    </row>
    <row r="60" spans="1:19" s="277" customFormat="1" ht="42" customHeight="1" thickBot="1">
      <c r="A60" s="339" t="s">
        <v>55</v>
      </c>
      <c r="B60" s="720" t="s">
        <v>892</v>
      </c>
      <c r="C60" s="721"/>
      <c r="D60" s="587">
        <v>5</v>
      </c>
      <c r="E60" s="595" t="str">
        <f>IF(('EntryData-ประถม&amp;มัธยม(ตบช.6-12)'!E64="Auto-calculate"),"Auto-calculate",'EntryData-ประถม&amp;มัธยม(ตบช.6-12)'!E64)</f>
        <v>Auto-calculate</v>
      </c>
      <c r="F60" s="596" t="str">
        <f>IF(('EntryData-ประถม&amp;มัธยม(ตบช.6-12)'!F64="Auto-calculate"),"Auto-calculate",'EntryData-ประถม&amp;มัธยม(ตบช.6-12)'!F64)</f>
        <v>Auto-calculate</v>
      </c>
      <c r="J60" s="350"/>
      <c r="K60" s="276"/>
      <c r="L60" s="276"/>
      <c r="M60" s="398"/>
      <c r="N60" s="398"/>
      <c r="O60" s="398"/>
      <c r="P60" s="398"/>
      <c r="Q60" s="398"/>
      <c r="R60" s="398"/>
      <c r="S60" s="398"/>
    </row>
    <row r="61" spans="1:13" ht="49.5" customHeight="1" thickBot="1">
      <c r="A61" s="708" t="s">
        <v>696</v>
      </c>
      <c r="B61" s="709"/>
      <c r="C61" s="710"/>
      <c r="D61" s="593">
        <f>SUM(D40:D60)</f>
        <v>100</v>
      </c>
      <c r="E61" s="594">
        <f>IF(COUNTIF(E40:E60,"Auto-calculate")&lt;12,SUM(E40:E60),"Auto-calculate")</f>
        <v>2.5</v>
      </c>
      <c r="F61" s="369" t="str">
        <f>IF(OR((ISERROR(E61)="True"),(E61="Auto-calculate")),"Auto-calculate",IF((E61&gt;=90),"ดีมาก",IF((E61&gt;=75),"ดี",IF((E61&gt;=60),"พอใช้",IF((E61&gt;=50),"ต้องปรับปรุง",IF((E61&gt;=0),"ต้องปรับปรุงเร่งด่วน"))))))</f>
        <v>ต้องปรับปรุงเร่งด่วน</v>
      </c>
      <c r="K61" s="266"/>
      <c r="L61" s="266"/>
      <c r="M61" s="396"/>
    </row>
    <row r="62" spans="1:13" ht="21">
      <c r="A62" s="308"/>
      <c r="B62" s="308"/>
      <c r="C62" s="309"/>
      <c r="D62" s="309"/>
      <c r="E62" s="280"/>
      <c r="F62" s="287"/>
      <c r="G62" s="266"/>
      <c r="H62" s="266"/>
      <c r="I62" s="264"/>
      <c r="J62" s="265"/>
      <c r="M62" s="396"/>
    </row>
    <row r="63" spans="1:2" ht="21">
      <c r="A63" s="283" t="s">
        <v>832</v>
      </c>
      <c r="B63" s="283"/>
    </row>
    <row r="64" spans="1:2" ht="21">
      <c r="A64" s="284" t="s">
        <v>0</v>
      </c>
      <c r="B64" s="284"/>
    </row>
    <row r="65" ht="9.75" customHeight="1" thickBot="1"/>
    <row r="66" spans="1:19" s="277" customFormat="1" ht="21">
      <c r="A66" s="722" t="s">
        <v>688</v>
      </c>
      <c r="B66" s="723"/>
      <c r="C66" s="285" t="s">
        <v>644</v>
      </c>
      <c r="D66" s="314" t="s">
        <v>689</v>
      </c>
      <c r="E66" s="684" t="s">
        <v>697</v>
      </c>
      <c r="F66" s="685"/>
      <c r="G66" s="685"/>
      <c r="H66" s="685"/>
      <c r="I66" s="686"/>
      <c r="J66" s="350"/>
      <c r="K66" s="276"/>
      <c r="L66" s="276"/>
      <c r="M66" s="398"/>
      <c r="N66" s="398"/>
      <c r="O66" s="397"/>
      <c r="P66" s="398"/>
      <c r="Q66" s="398"/>
      <c r="R66" s="398"/>
      <c r="S66" s="398"/>
    </row>
    <row r="67" spans="1:19" s="277" customFormat="1" ht="42">
      <c r="A67" s="724"/>
      <c r="B67" s="725"/>
      <c r="C67" s="333" t="s">
        <v>831</v>
      </c>
      <c r="D67" s="333" t="s">
        <v>690</v>
      </c>
      <c r="E67" s="316" t="s">
        <v>691</v>
      </c>
      <c r="F67" s="316" t="s">
        <v>692</v>
      </c>
      <c r="G67" s="316" t="s">
        <v>822</v>
      </c>
      <c r="H67" s="316" t="s">
        <v>823</v>
      </c>
      <c r="I67" s="317" t="s">
        <v>824</v>
      </c>
      <c r="J67" s="350"/>
      <c r="K67" s="276"/>
      <c r="L67" s="276"/>
      <c r="M67" s="398"/>
      <c r="N67" s="398"/>
      <c r="O67" s="397"/>
      <c r="P67" s="398"/>
      <c r="Q67" s="398"/>
      <c r="R67" s="398"/>
      <c r="S67" s="398"/>
    </row>
    <row r="68" spans="1:19" s="277" customFormat="1" ht="38.25" customHeight="1">
      <c r="A68" s="726" t="s">
        <v>1</v>
      </c>
      <c r="B68" s="727"/>
      <c r="C68" s="367">
        <v>5</v>
      </c>
      <c r="D68" s="367" t="str">
        <f>IF(('EntryData-ประถม&amp;มัธยม(ตบช.1-4)'!M14="Auto-calculate"),"Auto-calculate",'EntryData-ประถม&amp;มัธยม(ตบช.1-4)'!M14)</f>
        <v>Auto-calculate</v>
      </c>
      <c r="E68" s="363" t="str">
        <f>IF((D68="Auto-calculate"),":",IF(AND((D68&gt;=0),(D68&lt;=2.49)),"ü",""))</f>
        <v>:</v>
      </c>
      <c r="F68" s="363" t="str">
        <f>IF((D68="Auto-calculate"),":",IF(AND((D68&gt;=2.5),(D68&lt;=2.99)),"ü",""))</f>
        <v>:</v>
      </c>
      <c r="G68" s="363" t="str">
        <f>IF((D68="Auto-calculate"),":",IF(AND((D68&gt;=3),(D68&lt;=3.74)),"ü",""))</f>
        <v>:</v>
      </c>
      <c r="H68" s="363" t="str">
        <f>IF((D68="Auto-calculate"),":",IF(AND((D68&gt;=3.75),(D68&lt;=4.49)),"ü",""))</f>
        <v>:</v>
      </c>
      <c r="I68" s="364" t="str">
        <f>IF((D68="Auto-calculate"),":",IF(AND((D68&gt;=4.5),(D68&lt;=5)),"ü",""))</f>
        <v>:</v>
      </c>
      <c r="J68" s="350"/>
      <c r="K68" s="276"/>
      <c r="L68" s="276"/>
      <c r="M68" s="398"/>
      <c r="N68" s="398"/>
      <c r="O68" s="397"/>
      <c r="P68" s="398"/>
      <c r="Q68" s="398"/>
      <c r="R68" s="398"/>
      <c r="S68" s="398"/>
    </row>
    <row r="69" spans="1:19" s="277" customFormat="1" ht="21">
      <c r="A69" s="715" t="s">
        <v>2</v>
      </c>
      <c r="B69" s="716"/>
      <c r="C69" s="367">
        <v>5</v>
      </c>
      <c r="D69" s="367" t="str">
        <f>IF(('EntryData-ประถม&amp;มัธยม(ตบช.1-4)'!M17="Auto-calculate"),"Auto-calculate",'EntryData-ประถม&amp;มัธยม(ตบช.1-4)'!M17)</f>
        <v>Auto-calculate</v>
      </c>
      <c r="E69" s="363" t="str">
        <f>IF((D69="Auto-calculate"),":",IF(AND((D69&gt;=0),(D69&lt;=2.49)),"ü",""))</f>
        <v>:</v>
      </c>
      <c r="F69" s="363" t="str">
        <f>IF((D69="Auto-calculate"),":",IF(AND((D69&gt;=2.5),(D69&lt;=2.99)),"ü",""))</f>
        <v>:</v>
      </c>
      <c r="G69" s="363" t="str">
        <f>IF((D69="Auto-calculate"),":",IF(AND((D69&gt;=3),(D69&lt;=3.74)),"ü",""))</f>
        <v>:</v>
      </c>
      <c r="H69" s="363" t="str">
        <f>IF((D69="Auto-calculate"),":",IF(AND((D69&gt;=3.75),(D69&lt;=4.49)),"ü",""))</f>
        <v>:</v>
      </c>
      <c r="I69" s="364" t="str">
        <f>IF((D69="Auto-calculate"),":",IF(AND((D69&gt;=4.5),(D69&lt;=5)),"ü",""))</f>
        <v>:</v>
      </c>
      <c r="J69" s="350"/>
      <c r="K69" s="276"/>
      <c r="L69" s="276"/>
      <c r="M69" s="398"/>
      <c r="N69" s="398"/>
      <c r="O69" s="397"/>
      <c r="P69" s="398"/>
      <c r="Q69" s="398"/>
      <c r="R69" s="398"/>
      <c r="S69" s="398"/>
    </row>
    <row r="70" spans="1:19" s="277" customFormat="1" ht="21.75" thickBot="1">
      <c r="A70" s="776" t="s">
        <v>970</v>
      </c>
      <c r="B70" s="681"/>
      <c r="C70" s="368">
        <f>SUM(C68:C69)</f>
        <v>10</v>
      </c>
      <c r="D70" s="368" t="str">
        <f>IF(('EntryData-ประถม&amp;มัธยม(ตบช.1-4)'!M13="Auto-calculate"),"Auto-calculate",'EntryData-ประถม&amp;มัธยม(ตบช.1-4)'!M13)</f>
        <v>Auto-calculate</v>
      </c>
      <c r="E70" s="361" t="str">
        <f>IF((D70="Auto-calculate"),":",IF(AND((D70&gt;=0),(D70&lt;=4.99)),"ü",""))</f>
        <v>:</v>
      </c>
      <c r="F70" s="361" t="str">
        <f>IF((D70="Auto-calculate"),":",IF(AND((D70&gt;=5),(D70&lt;=5.99)),"ü",""))</f>
        <v>:</v>
      </c>
      <c r="G70" s="361" t="str">
        <f>IF((D70="Auto-calculate"),":",IF(AND((D70&gt;=6),(D70&lt;=7.49)),"ü",""))</f>
        <v>:</v>
      </c>
      <c r="H70" s="361" t="str">
        <f>IF((D70="Auto-calculate"),":",IF(AND((D70&gt;=7.5),(D70&lt;=8.99)),"ü",""))</f>
        <v>:</v>
      </c>
      <c r="I70" s="362" t="str">
        <f>IF((D70="Auto-calculate"),":",IF(AND((D70&gt;=9),(D70&lt;=10)),"ü",""))</f>
        <v>:</v>
      </c>
      <c r="J70" s="350"/>
      <c r="K70" s="276"/>
      <c r="L70" s="276"/>
      <c r="M70" s="398"/>
      <c r="N70" s="398"/>
      <c r="O70" s="397"/>
      <c r="P70" s="398"/>
      <c r="Q70" s="398"/>
      <c r="R70" s="398"/>
      <c r="S70" s="398"/>
    </row>
    <row r="71" spans="1:15" ht="8.25" customHeight="1">
      <c r="A71" s="318"/>
      <c r="B71" s="318"/>
      <c r="C71" s="309"/>
      <c r="D71" s="309"/>
      <c r="E71" s="319"/>
      <c r="F71" s="319"/>
      <c r="G71" s="319"/>
      <c r="H71" s="319"/>
      <c r="I71" s="319"/>
      <c r="J71" s="263"/>
      <c r="K71" s="266"/>
      <c r="L71" s="266"/>
      <c r="M71" s="396"/>
      <c r="O71" s="395"/>
    </row>
    <row r="72" spans="1:15" ht="22.5">
      <c r="A72" s="318"/>
      <c r="B72" s="318"/>
      <c r="C72" s="321" t="s">
        <v>309</v>
      </c>
      <c r="D72" s="378" t="str">
        <f>IF(('EntryData-ประถม&amp;มัธยม(ตบช.1-4)'!N13="Auto-calculate"),"Auto-calculate",'EntryData-ประถม&amp;มัธยม(ตบช.1-4)'!N13)</f>
        <v>Auto-calculate</v>
      </c>
      <c r="E72" s="319"/>
      <c r="F72" s="319"/>
      <c r="G72" s="319"/>
      <c r="H72" s="319"/>
      <c r="I72" s="319"/>
      <c r="J72" s="263"/>
      <c r="K72" s="266"/>
      <c r="L72" s="266"/>
      <c r="M72" s="396"/>
      <c r="O72" s="395"/>
    </row>
    <row r="73" spans="1:2" ht="21">
      <c r="A73" s="292"/>
      <c r="B73" s="292"/>
    </row>
    <row r="74" spans="1:2" ht="21">
      <c r="A74" s="284" t="s">
        <v>3</v>
      </c>
      <c r="B74" s="284"/>
    </row>
    <row r="75" ht="9.75" customHeight="1" thickBot="1"/>
    <row r="76" spans="1:15" ht="21">
      <c r="A76" s="689" t="s">
        <v>688</v>
      </c>
      <c r="B76" s="690"/>
      <c r="C76" s="285" t="s">
        <v>644</v>
      </c>
      <c r="D76" s="285" t="s">
        <v>689</v>
      </c>
      <c r="E76" s="684" t="s">
        <v>697</v>
      </c>
      <c r="F76" s="685"/>
      <c r="G76" s="685"/>
      <c r="H76" s="685"/>
      <c r="I76" s="686"/>
      <c r="J76" s="263"/>
      <c r="K76" s="266"/>
      <c r="L76" s="266"/>
      <c r="M76" s="396"/>
      <c r="O76" s="395"/>
    </row>
    <row r="77" spans="1:15" ht="42">
      <c r="A77" s="691"/>
      <c r="B77" s="692"/>
      <c r="C77" s="334" t="s">
        <v>831</v>
      </c>
      <c r="D77" s="334" t="s">
        <v>690</v>
      </c>
      <c r="E77" s="316" t="s">
        <v>691</v>
      </c>
      <c r="F77" s="316" t="s">
        <v>692</v>
      </c>
      <c r="G77" s="316" t="s">
        <v>822</v>
      </c>
      <c r="H77" s="316" t="s">
        <v>823</v>
      </c>
      <c r="I77" s="317" t="s">
        <v>824</v>
      </c>
      <c r="J77" s="263"/>
      <c r="K77" s="266"/>
      <c r="L77" s="266"/>
      <c r="M77" s="396"/>
      <c r="O77" s="395"/>
    </row>
    <row r="78" spans="1:15" ht="21">
      <c r="A78" s="769" t="s">
        <v>4</v>
      </c>
      <c r="B78" s="770"/>
      <c r="C78" s="367">
        <v>4</v>
      </c>
      <c r="D78" s="367" t="str">
        <f>IF(('EntryData-ประถม&amp;มัธยม(ตบช.1-4)'!M20="Auto-calculate"),"Auto-calculate",'EntryData-ประถม&amp;มัธยม(ตบช.1-4)'!M20)</f>
        <v>Auto-calculate</v>
      </c>
      <c r="E78" s="363" t="str">
        <f>IF((D78="Auto-calculate"),":",IF(AND((D78&gt;=0),(D78&lt;=1.99)),"ü",""))</f>
        <v>:</v>
      </c>
      <c r="F78" s="363" t="str">
        <f>IF((D78="Auto-calculate"),":",IF(AND((D78&gt;=2),(D78&lt;=2.39)),"ü",""))</f>
        <v>:</v>
      </c>
      <c r="G78" s="363" t="str">
        <f>IF((D78="Auto-calculate"),":",IF(AND((D78&gt;=2.4),(D78&lt;=2.99)),"ü",""))</f>
        <v>:</v>
      </c>
      <c r="H78" s="363" t="str">
        <f>IF((D78="Auto-calculate"),":",IF(AND((D78&gt;=3),(D78&lt;=3.59)),"ü",""))</f>
        <v>:</v>
      </c>
      <c r="I78" s="364" t="str">
        <f>IF((D78="Auto-calculate"),":",IF(AND((D78&gt;=3.6),(D78&lt;=4)),"ü",""))</f>
        <v>:</v>
      </c>
      <c r="J78" s="263"/>
      <c r="K78" s="266"/>
      <c r="L78" s="266"/>
      <c r="M78" s="396"/>
      <c r="O78" s="395"/>
    </row>
    <row r="79" spans="1:15" ht="21">
      <c r="A79" s="769" t="s">
        <v>5</v>
      </c>
      <c r="B79" s="770"/>
      <c r="C79" s="367">
        <v>4</v>
      </c>
      <c r="D79" s="367" t="str">
        <f>IF(('EntryData-ประถม&amp;มัธยม(ตบช.1-4)'!M22="Auto-calculate"),"Auto-calculate",'EntryData-ประถม&amp;มัธยม(ตบช.1-4)'!M22)</f>
        <v>Auto-calculate</v>
      </c>
      <c r="E79" s="363" t="str">
        <f>IF((D79="Auto-calculate"),":",IF(AND((D79&gt;=0),(D79&lt;=1.99)),"ü",""))</f>
        <v>:</v>
      </c>
      <c r="F79" s="363" t="str">
        <f>IF((D79="Auto-calculate"),":",IF(AND((D79&gt;=2),(D79&lt;=2.39)),"ü",""))</f>
        <v>:</v>
      </c>
      <c r="G79" s="363" t="str">
        <f>IF((D79="Auto-calculate"),":",IF(AND((D79&gt;=2.4),(D79&lt;=2.99)),"ü",""))</f>
        <v>:</v>
      </c>
      <c r="H79" s="363" t="str">
        <f>IF((D79="Auto-calculate"),":",IF(AND((D79&gt;=3),(D79&lt;=3.59)),"ü",""))</f>
        <v>:</v>
      </c>
      <c r="I79" s="364" t="str">
        <f>IF((D79="Auto-calculate"),":",IF(AND((D79&gt;=3.6),(D79&lt;=4)),"ü",""))</f>
        <v>:</v>
      </c>
      <c r="J79" s="263"/>
      <c r="K79" s="266"/>
      <c r="L79" s="266"/>
      <c r="M79" s="396"/>
      <c r="O79" s="395"/>
    </row>
    <row r="80" spans="1:15" ht="21">
      <c r="A80" s="769" t="s">
        <v>6</v>
      </c>
      <c r="B80" s="770"/>
      <c r="C80" s="367">
        <v>2</v>
      </c>
      <c r="D80" s="367" t="str">
        <f>IF(('EntryData-ประถม&amp;มัธยม(ตบช.1-4)'!M25="Auto-calculate"),"Auto-calculate",'EntryData-ประถม&amp;มัธยม(ตบช.1-4)'!M25)</f>
        <v>Auto-calculate</v>
      </c>
      <c r="E80" s="363" t="str">
        <f>IF((D80="Auto-calculate"),":",IF(AND((D80&gt;=0),(D80&lt;=0.99)),"ü",""))</f>
        <v>:</v>
      </c>
      <c r="F80" s="363" t="str">
        <f>IF((D80="Auto-calculate"),":",IF(AND((D80&gt;=1),(D80&lt;=1.19)),"ü",""))</f>
        <v>:</v>
      </c>
      <c r="G80" s="363" t="str">
        <f>IF((D80="Auto-calculate"),":",IF(AND((D80&gt;=1.2),(D80&lt;=1.49)),"ü",""))</f>
        <v>:</v>
      </c>
      <c r="H80" s="363" t="str">
        <f>IF((D80="Auto-calculate"),":",IF(AND((D80&gt;=1.5),(D80&lt;=1.79)),"ü",""))</f>
        <v>:</v>
      </c>
      <c r="I80" s="364" t="str">
        <f>IF((D80="Auto-calculate"),":",IF(AND((D80&gt;=1.8),(D80&lt;=2)),"ü",""))</f>
        <v>:</v>
      </c>
      <c r="J80" s="263"/>
      <c r="K80" s="266"/>
      <c r="L80" s="266"/>
      <c r="M80" s="396"/>
      <c r="O80" s="395"/>
    </row>
    <row r="81" spans="1:15" ht="21.75" thickBot="1">
      <c r="A81" s="776" t="s">
        <v>971</v>
      </c>
      <c r="B81" s="681"/>
      <c r="C81" s="368">
        <f>SUM(C78:C80)</f>
        <v>10</v>
      </c>
      <c r="D81" s="368" t="str">
        <f>IF(('EntryData-ประถม&amp;มัธยม(ตบช.1-4)'!M19="Auto-calculate"),"Auto-calculate",'EntryData-ประถม&amp;มัธยม(ตบช.1-4)'!M19)</f>
        <v>Auto-calculate</v>
      </c>
      <c r="E81" s="361" t="str">
        <f>IF((D81="Auto-calculate"),":",IF(AND((D81&gt;=0),(D81&lt;=4.99)),"ü",""))</f>
        <v>:</v>
      </c>
      <c r="F81" s="361" t="str">
        <f>IF((D81="Auto-calculate"),":",IF(AND((D81&gt;=5),(D81&lt;=5.99)),"ü",""))</f>
        <v>:</v>
      </c>
      <c r="G81" s="361" t="str">
        <f>IF((D81="Auto-calculate"),":",IF(AND((D81&gt;=6),(D81&lt;=7.49)),"ü",""))</f>
        <v>:</v>
      </c>
      <c r="H81" s="361" t="str">
        <f>IF((D81="Auto-calculate"),":",IF(AND((D81&gt;=7.5),(D81&lt;=8.99)),"ü",""))</f>
        <v>:</v>
      </c>
      <c r="I81" s="362" t="str">
        <f>IF((D81="Auto-calculate"),":",IF(AND((D81&gt;=9),(D81&lt;=10)),"ü",""))</f>
        <v>:</v>
      </c>
      <c r="J81" s="263"/>
      <c r="K81" s="266"/>
      <c r="L81" s="266"/>
      <c r="M81" s="396"/>
      <c r="O81" s="395"/>
    </row>
    <row r="82" spans="1:15" ht="9.75" customHeight="1">
      <c r="A82" s="318"/>
      <c r="B82" s="318"/>
      <c r="C82" s="309"/>
      <c r="D82" s="309"/>
      <c r="E82" s="319"/>
      <c r="F82" s="319"/>
      <c r="G82" s="319"/>
      <c r="H82" s="319"/>
      <c r="I82" s="319"/>
      <c r="J82" s="263"/>
      <c r="K82" s="266"/>
      <c r="L82" s="266"/>
      <c r="M82" s="396"/>
      <c r="O82" s="395"/>
    </row>
    <row r="83" spans="1:15" ht="22.5">
      <c r="A83" s="318"/>
      <c r="B83" s="318"/>
      <c r="C83" s="321" t="s">
        <v>308</v>
      </c>
      <c r="D83" s="378" t="str">
        <f>IF(('EntryData-ประถม&amp;มัธยม(ตบช.1-4)'!N19="Auto-calculate"),"Auto-calculate",'EntryData-ประถม&amp;มัธยม(ตบช.1-4)'!N19)</f>
        <v>Auto-calculate</v>
      </c>
      <c r="E83" s="319"/>
      <c r="F83" s="319"/>
      <c r="G83" s="319"/>
      <c r="H83" s="319"/>
      <c r="I83" s="319"/>
      <c r="J83" s="263"/>
      <c r="K83" s="266"/>
      <c r="L83" s="266"/>
      <c r="M83" s="396"/>
      <c r="O83" s="395"/>
    </row>
    <row r="84" spans="1:15" ht="21">
      <c r="A84" s="318"/>
      <c r="B84" s="318"/>
      <c r="C84" s="309"/>
      <c r="D84" s="309"/>
      <c r="E84" s="319"/>
      <c r="F84" s="319"/>
      <c r="G84" s="319"/>
      <c r="H84" s="319"/>
      <c r="I84" s="319"/>
      <c r="J84" s="263"/>
      <c r="K84" s="266"/>
      <c r="L84" s="266"/>
      <c r="M84" s="396"/>
      <c r="O84" s="395"/>
    </row>
    <row r="85" spans="1:2" ht="21">
      <c r="A85" s="284" t="s">
        <v>7</v>
      </c>
      <c r="B85" s="284"/>
    </row>
    <row r="86" ht="9.75" customHeight="1" thickBot="1"/>
    <row r="87" spans="1:15" ht="21">
      <c r="A87" s="689" t="s">
        <v>688</v>
      </c>
      <c r="B87" s="690"/>
      <c r="C87" s="285" t="s">
        <v>644</v>
      </c>
      <c r="D87" s="285" t="s">
        <v>689</v>
      </c>
      <c r="E87" s="684" t="s">
        <v>697</v>
      </c>
      <c r="F87" s="685"/>
      <c r="G87" s="685"/>
      <c r="H87" s="685"/>
      <c r="I87" s="686"/>
      <c r="J87" s="263"/>
      <c r="K87" s="266"/>
      <c r="L87" s="266"/>
      <c r="M87" s="396"/>
      <c r="O87" s="395"/>
    </row>
    <row r="88" spans="1:15" ht="42">
      <c r="A88" s="691"/>
      <c r="B88" s="692"/>
      <c r="C88" s="334" t="s">
        <v>831</v>
      </c>
      <c r="D88" s="334" t="s">
        <v>690</v>
      </c>
      <c r="E88" s="316" t="s">
        <v>691</v>
      </c>
      <c r="F88" s="316" t="s">
        <v>692</v>
      </c>
      <c r="G88" s="316" t="s">
        <v>822</v>
      </c>
      <c r="H88" s="316" t="s">
        <v>823</v>
      </c>
      <c r="I88" s="317" t="s">
        <v>824</v>
      </c>
      <c r="J88" s="263"/>
      <c r="K88" s="266"/>
      <c r="L88" s="266"/>
      <c r="M88" s="396"/>
      <c r="O88" s="395"/>
    </row>
    <row r="89" spans="1:15" ht="42.75" customHeight="1">
      <c r="A89" s="777" t="s">
        <v>8</v>
      </c>
      <c r="B89" s="778"/>
      <c r="C89" s="288">
        <v>5</v>
      </c>
      <c r="D89" s="288" t="str">
        <f>IF(('EntryData-ประถม&amp;มัธยม(ตบช.1-4)'!M29="Auto-calculate"),"Auto-calculate",'EntryData-ประถม&amp;มัธยม(ตบช.1-4)'!M29)</f>
        <v>Auto-calculate</v>
      </c>
      <c r="E89" s="363" t="str">
        <f>IF((D89="Auto-calculate"),":",IF(AND((D89&gt;=0),(D89&lt;=2.49)),"ü",""))</f>
        <v>:</v>
      </c>
      <c r="F89" s="363" t="str">
        <f>IF((D89="Auto-calculate"),":",IF(AND((D89&gt;=2.5),(D89&lt;=2.99)),"ü",""))</f>
        <v>:</v>
      </c>
      <c r="G89" s="363" t="str">
        <f>IF((D89="Auto-calculate"),":",IF(AND((D89&gt;=3),(D89&lt;=3.74)),"ü",""))</f>
        <v>:</v>
      </c>
      <c r="H89" s="363" t="str">
        <f>IF((D89="Auto-calculate"),":",IF(AND((D89&gt;=3.75),(D89&lt;=4.49)),"ü",""))</f>
        <v>:</v>
      </c>
      <c r="I89" s="364" t="str">
        <f>IF((D89="Auto-calculate"),":",IF(AND((D89&gt;=4.5),(D89&lt;=5)),"ü",""))</f>
        <v>:</v>
      </c>
      <c r="J89" s="263"/>
      <c r="K89" s="266"/>
      <c r="L89" s="266"/>
      <c r="M89" s="396"/>
      <c r="O89" s="395"/>
    </row>
    <row r="90" spans="1:15" ht="42" customHeight="1">
      <c r="A90" s="777" t="s">
        <v>42</v>
      </c>
      <c r="B90" s="778"/>
      <c r="C90" s="288">
        <v>5</v>
      </c>
      <c r="D90" s="288" t="str">
        <f>IF(('EntryData-ประถม&amp;มัธยม(ตบช.1-4)'!M32="Auto-calculate"),"Auto-calculate",'EntryData-ประถม&amp;มัธยม(ตบช.1-4)'!M32)</f>
        <v>Auto-calculate</v>
      </c>
      <c r="E90" s="363" t="str">
        <f>IF((D90="Auto-calculate"),":",IF(AND((D90&gt;=0),(D90&lt;=2.49)),"ü",""))</f>
        <v>:</v>
      </c>
      <c r="F90" s="363" t="str">
        <f>IF((D90="Auto-calculate"),":",IF(AND((D90&gt;=2.5),(D90&lt;=2.99)),"ü",""))</f>
        <v>:</v>
      </c>
      <c r="G90" s="363" t="str">
        <f>IF((D90="Auto-calculate"),":",IF(AND((D90&gt;=3),(D90&lt;=3.74)),"ü",""))</f>
        <v>:</v>
      </c>
      <c r="H90" s="363" t="str">
        <f>IF((D90="Auto-calculate"),":",IF(AND((D90&gt;=3.75),(D90&lt;=4.49)),"ü",""))</f>
        <v>:</v>
      </c>
      <c r="I90" s="364" t="str">
        <f>IF((D90="Auto-calculate"),":",IF(AND((D90&gt;=4.5),(D90&lt;=5)),"ü",""))</f>
        <v>:</v>
      </c>
      <c r="J90" s="263"/>
      <c r="K90" s="266"/>
      <c r="L90" s="266"/>
      <c r="M90" s="396"/>
      <c r="O90" s="395"/>
    </row>
    <row r="91" spans="1:15" ht="21.75" thickBot="1">
      <c r="A91" s="772" t="s">
        <v>972</v>
      </c>
      <c r="B91" s="773"/>
      <c r="C91" s="325">
        <f>SUM(C89:C90)</f>
        <v>10</v>
      </c>
      <c r="D91" s="325" t="str">
        <f>IF(('EntryData-ประถม&amp;มัธยม(ตบช.1-4)'!M28="Auto-calculate"),"Auto-calculate",'EntryData-ประถม&amp;มัธยม(ตบช.1-4)'!M28)</f>
        <v>Auto-calculate</v>
      </c>
      <c r="E91" s="361" t="str">
        <f>IF((D91="Auto-calculate"),":",IF(AND((D91&gt;=0),(D91&lt;=4.99)),"ü",""))</f>
        <v>:</v>
      </c>
      <c r="F91" s="361" t="str">
        <f>IF((D91="Auto-calculate"),":",IF(AND((D91&gt;=5),(D91&lt;=5.99)),"ü",""))</f>
        <v>:</v>
      </c>
      <c r="G91" s="361" t="str">
        <f>IF((D91="Auto-calculate"),":",IF(AND((D91&gt;=6),(D91&lt;=7.49)),"ü",""))</f>
        <v>:</v>
      </c>
      <c r="H91" s="361" t="str">
        <f>IF((D91="Auto-calculate"),":",IF(AND((D91&gt;=7.5),(D91&lt;=8.99)),"ü",""))</f>
        <v>:</v>
      </c>
      <c r="I91" s="362" t="str">
        <f>IF((D91="Auto-calculate"),":",IF(AND((D91&gt;=9),(D91&lt;=10)),"ü",""))</f>
        <v>:</v>
      </c>
      <c r="J91" s="263"/>
      <c r="K91" s="266"/>
      <c r="L91" s="266"/>
      <c r="M91" s="396"/>
      <c r="O91" s="395"/>
    </row>
    <row r="92" spans="1:15" ht="11.25" customHeight="1">
      <c r="A92" s="318"/>
      <c r="B92" s="318"/>
      <c r="C92" s="309"/>
      <c r="D92" s="309"/>
      <c r="E92" s="319"/>
      <c r="F92" s="319"/>
      <c r="G92" s="319"/>
      <c r="H92" s="319"/>
      <c r="I92" s="319"/>
      <c r="J92" s="263"/>
      <c r="K92" s="266"/>
      <c r="L92" s="266"/>
      <c r="M92" s="396"/>
      <c r="O92" s="395"/>
    </row>
    <row r="93" spans="1:15" ht="22.5">
      <c r="A93" s="318"/>
      <c r="C93" s="321" t="s">
        <v>307</v>
      </c>
      <c r="D93" s="378" t="str">
        <f>IF(('EntryData-ประถม&amp;มัธยม(ตบช.1-4)'!N28="Auto-calculate"),"Auto-calculate",'EntryData-ประถม&amp;มัธยม(ตบช.1-4)'!N28)</f>
        <v>Auto-calculate</v>
      </c>
      <c r="F93" s="319"/>
      <c r="G93" s="319"/>
      <c r="H93" s="319"/>
      <c r="I93" s="319"/>
      <c r="J93" s="263"/>
      <c r="K93" s="266"/>
      <c r="L93" s="266"/>
      <c r="M93" s="396"/>
      <c r="O93" s="395"/>
    </row>
    <row r="94" spans="1:15" ht="21">
      <c r="A94" s="318"/>
      <c r="B94" s="318"/>
      <c r="C94" s="309"/>
      <c r="D94" s="309"/>
      <c r="E94" s="319"/>
      <c r="F94" s="319"/>
      <c r="G94" s="319"/>
      <c r="H94" s="319"/>
      <c r="I94" s="319"/>
      <c r="J94" s="263"/>
      <c r="K94" s="266"/>
      <c r="L94" s="266"/>
      <c r="M94" s="396"/>
      <c r="O94" s="395"/>
    </row>
    <row r="95" spans="1:2" ht="21">
      <c r="A95" s="284" t="s">
        <v>9</v>
      </c>
      <c r="B95" s="284"/>
    </row>
    <row r="96" ht="9.75" customHeight="1" thickBot="1"/>
    <row r="97" spans="1:15" ht="21">
      <c r="A97" s="689" t="s">
        <v>688</v>
      </c>
      <c r="B97" s="690"/>
      <c r="C97" s="285" t="s">
        <v>644</v>
      </c>
      <c r="D97" s="285" t="s">
        <v>689</v>
      </c>
      <c r="E97" s="684" t="s">
        <v>697</v>
      </c>
      <c r="F97" s="685"/>
      <c r="G97" s="685"/>
      <c r="H97" s="685"/>
      <c r="I97" s="686"/>
      <c r="J97" s="263"/>
      <c r="K97" s="266"/>
      <c r="L97" s="266"/>
      <c r="M97" s="396"/>
      <c r="O97" s="395"/>
    </row>
    <row r="98" spans="1:15" ht="42">
      <c r="A98" s="691"/>
      <c r="B98" s="692"/>
      <c r="C98" s="333" t="s">
        <v>831</v>
      </c>
      <c r="D98" s="334" t="s">
        <v>690</v>
      </c>
      <c r="E98" s="316" t="s">
        <v>691</v>
      </c>
      <c r="F98" s="316" t="s">
        <v>692</v>
      </c>
      <c r="G98" s="316" t="s">
        <v>822</v>
      </c>
      <c r="H98" s="316" t="s">
        <v>823</v>
      </c>
      <c r="I98" s="317" t="s">
        <v>824</v>
      </c>
      <c r="J98" s="263"/>
      <c r="K98" s="266"/>
      <c r="L98" s="266"/>
      <c r="M98" s="396"/>
      <c r="O98" s="395"/>
    </row>
    <row r="99" spans="1:15" ht="21">
      <c r="A99" s="682" t="s">
        <v>10</v>
      </c>
      <c r="B99" s="683"/>
      <c r="C99" s="288">
        <v>5</v>
      </c>
      <c r="D99" s="288" t="str">
        <f>IF(('EntryData-ประถม&amp;มัธยม(ตบช.1-4)'!M36="Auto-calculate"),"Auto-calculate",'EntryData-ประถม&amp;มัธยม(ตบช.1-4)'!M36)</f>
        <v>Auto-calculate</v>
      </c>
      <c r="E99" s="363" t="str">
        <f>IF((D99="Auto-calculate"),":",IF(AND((D99&gt;=0),(D99&lt;=2.49)),"ü",""))</f>
        <v>:</v>
      </c>
      <c r="F99" s="363" t="str">
        <f>IF((D99="Auto-calculate"),":",IF(AND((D99&gt;=2.5),(D99&lt;=2.99)),"ü",""))</f>
        <v>:</v>
      </c>
      <c r="G99" s="363" t="str">
        <f>IF((D99="Auto-calculate"),":",IF(AND((D99&gt;=3),(D99&lt;=3.74)),"ü",""))</f>
        <v>:</v>
      </c>
      <c r="H99" s="363" t="str">
        <f>IF((D99="Auto-calculate"),":",IF(AND((D99&gt;=3.75),(D99&lt;=4.49)),"ü",""))</f>
        <v>:</v>
      </c>
      <c r="I99" s="364" t="str">
        <f>IF((D99="Auto-calculate"),":",IF(AND((D99&gt;=4.5),(D99&lt;=5)),"ü",""))</f>
        <v>:</v>
      </c>
      <c r="J99" s="263"/>
      <c r="K99" s="266"/>
      <c r="L99" s="266"/>
      <c r="M99" s="396"/>
      <c r="O99" s="395"/>
    </row>
    <row r="100" spans="1:15" ht="21">
      <c r="A100" s="682" t="s">
        <v>43</v>
      </c>
      <c r="B100" s="683"/>
      <c r="C100" s="288">
        <v>5</v>
      </c>
      <c r="D100" s="288" t="str">
        <f>IF(('EntryData-ประถม&amp;มัธยม(ตบช.1-4)'!M38="Auto-calculate"),"Auto-calculate",'EntryData-ประถม&amp;มัธยม(ตบช.1-4)'!M38)</f>
        <v>Auto-calculate</v>
      </c>
      <c r="E100" s="363" t="str">
        <f>IF((D100="Auto-calculate"),":",IF(AND((D100&gt;=0),(D100&lt;=2.49)),"ü",""))</f>
        <v>:</v>
      </c>
      <c r="F100" s="363" t="str">
        <f>IF((D100="Auto-calculate"),":",IF(AND((D100&gt;=2.5),(D100&lt;=2.99)),"ü",""))</f>
        <v>:</v>
      </c>
      <c r="G100" s="363" t="str">
        <f>IF((D100="Auto-calculate"),":",IF(AND((D100&gt;=3),(D100&lt;=3.74)),"ü",""))</f>
        <v>:</v>
      </c>
      <c r="H100" s="363" t="str">
        <f>IF((D100="Auto-calculate"),":",IF(AND((D100&gt;=3.75),(D100&lt;=4.49)),"ü",""))</f>
        <v>:</v>
      </c>
      <c r="I100" s="364" t="str">
        <f>IF((D100="Auto-calculate"),":",IF(AND((D100&gt;=4.5),(D100&lt;=5)),"ü",""))</f>
        <v>:</v>
      </c>
      <c r="J100" s="263"/>
      <c r="K100" s="266"/>
      <c r="L100" s="266"/>
      <c r="M100" s="396"/>
      <c r="O100" s="395"/>
    </row>
    <row r="101" spans="1:19" s="323" customFormat="1" ht="21.75" thickBot="1">
      <c r="A101" s="772" t="s">
        <v>973</v>
      </c>
      <c r="B101" s="773"/>
      <c r="C101" s="324">
        <f>SUM(C99:C100)</f>
        <v>10</v>
      </c>
      <c r="D101" s="322" t="str">
        <f>IF(('EntryData-ประถม&amp;มัธยม(ตบช.1-4)'!M35="Auto-calculate"),"Auto-calculate",'EntryData-ประถม&amp;มัธยม(ตบช.1-4)'!M35)</f>
        <v>Auto-calculate</v>
      </c>
      <c r="E101" s="361" t="str">
        <f>IF((D101="Auto-calculate"),":",IF(AND((D101&gt;=0),(D101&lt;=4.99)),"ü",""))</f>
        <v>:</v>
      </c>
      <c r="F101" s="361" t="str">
        <f>IF((D101="Auto-calculate"),":",IF(AND((D101&gt;=5),(D101&lt;=5.99)),"ü",""))</f>
        <v>:</v>
      </c>
      <c r="G101" s="361" t="str">
        <f>IF((D101="Auto-calculate"),":",IF(AND((D101&gt;=6),(D101&lt;=7.49)),"ü",""))</f>
        <v>:</v>
      </c>
      <c r="H101" s="361" t="str">
        <f>IF((D101="Auto-calculate"),":",IF(AND((D101&gt;=7.5),(D101&lt;=8.99)),"ü",""))</f>
        <v>:</v>
      </c>
      <c r="I101" s="362" t="str">
        <f>IF((D101="Auto-calculate"),":",IF(AND((D101&gt;=9),(D101&lt;=10)),"ü",""))</f>
        <v>:</v>
      </c>
      <c r="J101" s="265"/>
      <c r="K101" s="266"/>
      <c r="L101" s="266"/>
      <c r="M101" s="399"/>
      <c r="N101" s="399"/>
      <c r="O101" s="402"/>
      <c r="P101" s="399"/>
      <c r="Q101" s="399"/>
      <c r="R101" s="399"/>
      <c r="S101" s="399"/>
    </row>
    <row r="102" spans="1:15" ht="11.25" customHeight="1">
      <c r="A102" s="318"/>
      <c r="B102" s="318"/>
      <c r="C102" s="309"/>
      <c r="D102" s="309"/>
      <c r="E102" s="319"/>
      <c r="F102" s="319"/>
      <c r="G102" s="319"/>
      <c r="H102" s="319"/>
      <c r="I102" s="319"/>
      <c r="J102" s="263"/>
      <c r="K102" s="266"/>
      <c r="L102" s="266"/>
      <c r="M102" s="396"/>
      <c r="O102" s="395"/>
    </row>
    <row r="103" spans="1:15" ht="22.5">
      <c r="A103" s="318"/>
      <c r="B103" s="318"/>
      <c r="C103" s="321" t="s">
        <v>306</v>
      </c>
      <c r="D103" s="378" t="str">
        <f>IF(('EntryData-ประถม&amp;มัธยม(ตบช.1-4)'!N35="Auto-calculate"),"Auto-calculate",'EntryData-ประถม&amp;มัธยม(ตบช.1-4)'!N35)</f>
        <v>Auto-calculate</v>
      </c>
      <c r="F103" s="319"/>
      <c r="G103" s="319"/>
      <c r="H103" s="319"/>
      <c r="I103" s="319"/>
      <c r="J103" s="263"/>
      <c r="K103" s="266"/>
      <c r="L103" s="266"/>
      <c r="M103" s="396"/>
      <c r="O103" s="395"/>
    </row>
    <row r="104" spans="1:15" ht="21">
      <c r="A104" s="318"/>
      <c r="B104" s="318"/>
      <c r="C104" s="309"/>
      <c r="D104" s="309"/>
      <c r="E104" s="319"/>
      <c r="F104" s="319"/>
      <c r="G104" s="319"/>
      <c r="H104" s="319"/>
      <c r="I104" s="319"/>
      <c r="J104" s="263"/>
      <c r="K104" s="266"/>
      <c r="L104" s="266"/>
      <c r="M104" s="396"/>
      <c r="O104" s="395"/>
    </row>
    <row r="105" spans="1:2" ht="21">
      <c r="A105" s="284" t="s">
        <v>11</v>
      </c>
      <c r="B105" s="284"/>
    </row>
    <row r="106" ht="9.75" customHeight="1" thickBot="1"/>
    <row r="107" spans="1:15" ht="21">
      <c r="A107" s="689" t="s">
        <v>688</v>
      </c>
      <c r="B107" s="690"/>
      <c r="C107" s="285" t="s">
        <v>644</v>
      </c>
      <c r="D107" s="285" t="s">
        <v>689</v>
      </c>
      <c r="E107" s="684" t="s">
        <v>697</v>
      </c>
      <c r="F107" s="685"/>
      <c r="G107" s="685"/>
      <c r="H107" s="685"/>
      <c r="I107" s="686"/>
      <c r="J107" s="263"/>
      <c r="K107" s="266"/>
      <c r="L107" s="266"/>
      <c r="M107" s="396"/>
      <c r="O107" s="395"/>
    </row>
    <row r="108" spans="1:15" ht="42">
      <c r="A108" s="691"/>
      <c r="B108" s="692"/>
      <c r="C108" s="334" t="s">
        <v>831</v>
      </c>
      <c r="D108" s="334" t="s">
        <v>690</v>
      </c>
      <c r="E108" s="316" t="s">
        <v>691</v>
      </c>
      <c r="F108" s="316" t="s">
        <v>692</v>
      </c>
      <c r="G108" s="316" t="s">
        <v>822</v>
      </c>
      <c r="H108" s="316" t="s">
        <v>823</v>
      </c>
      <c r="I108" s="317" t="s">
        <v>824</v>
      </c>
      <c r="J108" s="263"/>
      <c r="K108" s="266"/>
      <c r="L108" s="266"/>
      <c r="M108" s="396"/>
      <c r="O108" s="395"/>
    </row>
    <row r="109" spans="1:15" ht="43.5" customHeight="1">
      <c r="A109" s="774" t="s">
        <v>12</v>
      </c>
      <c r="B109" s="775"/>
      <c r="C109" s="288">
        <v>2.5</v>
      </c>
      <c r="D109" s="288" t="str">
        <f>IF(('EntryData-ประถม&amp;มัธยม(ตบช.5)'!L11="Auto-calculate"),"Auto-calculate",'EntryData-ประถม&amp;มัธยม(ตบช.5)'!L11)</f>
        <v>Auto-calculate</v>
      </c>
      <c r="E109" s="363" t="str">
        <f>IF((D109="Auto-calculate"),":",IF(AND((D109&gt;=0),(D109&lt;=0.49)),"ü",""))</f>
        <v>:</v>
      </c>
      <c r="F109" s="363" t="str">
        <f>IF((D109="Auto-calculate"),":",IF(AND((D109&gt;=0.5),(D109&lt;=0.99)),"ü",""))</f>
        <v>:</v>
      </c>
      <c r="G109" s="363" t="str">
        <f>IF((D109="Auto-calculate"),":",IF(AND((D109&gt;=1),(D109&lt;=1.49)),"ü",""))</f>
        <v>:</v>
      </c>
      <c r="H109" s="363" t="str">
        <f>IF((D109="Auto-calculate"),":",IF(AND((D109&gt;=1.5),(D109&lt;=1.99)),"ü",""))</f>
        <v>:</v>
      </c>
      <c r="I109" s="364" t="str">
        <f>IF((D109="Auto-calculate"),":",IF(AND((D109&gt;=2),(D109&lt;=2.5)),"ü",""))</f>
        <v>:</v>
      </c>
      <c r="J109" s="263"/>
      <c r="K109" s="266"/>
      <c r="L109" s="266"/>
      <c r="M109" s="396"/>
      <c r="O109" s="395"/>
    </row>
    <row r="110" spans="1:15" ht="43.5" customHeight="1">
      <c r="A110" s="774" t="s">
        <v>13</v>
      </c>
      <c r="B110" s="775"/>
      <c r="C110" s="288">
        <v>2.5</v>
      </c>
      <c r="D110" s="288" t="str">
        <f>IF(('EntryData-ประถม&amp;มัธยม(ตบช.5)'!L15="Auto-calculate"),"Auto-calculate",'EntryData-ประถม&amp;มัธยม(ตบช.5)'!L15)</f>
        <v>Auto-calculate</v>
      </c>
      <c r="E110" s="363" t="str">
        <f aca="true" t="shared" si="0" ref="E110:E116">IF((D110="Auto-calculate"),":",IF(AND((D110&gt;=0),(D110&lt;=0.49)),"ü",""))</f>
        <v>:</v>
      </c>
      <c r="F110" s="363" t="str">
        <f aca="true" t="shared" si="1" ref="F110:F116">IF((D110="Auto-calculate"),":",IF(AND((D110&gt;=0.5),(D110&lt;=0.99)),"ü",""))</f>
        <v>:</v>
      </c>
      <c r="G110" s="363" t="str">
        <f aca="true" t="shared" si="2" ref="G110:G116">IF((D110="Auto-calculate"),":",IF(AND((D110&gt;=1),(D110&lt;=1.49)),"ü",""))</f>
        <v>:</v>
      </c>
      <c r="H110" s="363" t="str">
        <f aca="true" t="shared" si="3" ref="H110:H116">IF((D110="Auto-calculate"),":",IF(AND((D110&gt;=1.5),(D110&lt;=1.99)),"ü",""))</f>
        <v>:</v>
      </c>
      <c r="I110" s="364" t="str">
        <f aca="true" t="shared" si="4" ref="I110:I116">IF((D110="Auto-calculate"),":",IF(AND((D110&gt;=2),(D110&lt;=2.5)),"ü",""))</f>
        <v>:</v>
      </c>
      <c r="J110" s="263"/>
      <c r="K110" s="266"/>
      <c r="L110" s="266"/>
      <c r="M110" s="396"/>
      <c r="O110" s="395"/>
    </row>
    <row r="111" spans="1:15" ht="43.5" customHeight="1">
      <c r="A111" s="774" t="s">
        <v>14</v>
      </c>
      <c r="B111" s="775"/>
      <c r="C111" s="288">
        <v>2.5</v>
      </c>
      <c r="D111" s="288" t="str">
        <f>IF(('EntryData-ประถม&amp;มัธยม(ตบช.5)'!L19="Auto-calculate"),"Auto-calculate",'EntryData-ประถม&amp;มัธยม(ตบช.5)'!L19)</f>
        <v>Auto-calculate</v>
      </c>
      <c r="E111" s="363" t="str">
        <f t="shared" si="0"/>
        <v>:</v>
      </c>
      <c r="F111" s="363" t="str">
        <f t="shared" si="1"/>
        <v>:</v>
      </c>
      <c r="G111" s="363" t="str">
        <f t="shared" si="2"/>
        <v>:</v>
      </c>
      <c r="H111" s="363" t="str">
        <f t="shared" si="3"/>
        <v>:</v>
      </c>
      <c r="I111" s="364" t="str">
        <f t="shared" si="4"/>
        <v>:</v>
      </c>
      <c r="J111" s="263"/>
      <c r="K111" s="266"/>
      <c r="L111" s="266"/>
      <c r="M111" s="396"/>
      <c r="O111" s="395"/>
    </row>
    <row r="112" spans="1:15" ht="43.5" customHeight="1">
      <c r="A112" s="774" t="s">
        <v>15</v>
      </c>
      <c r="B112" s="775"/>
      <c r="C112" s="288">
        <v>2.5</v>
      </c>
      <c r="D112" s="288">
        <f>IF(('EntryData-ประถม&amp;มัธยม(ตบช.5)'!L23="Auto-calculate"),"Auto-calculate",'EntryData-ประถม&amp;มัธยม(ตบช.5)'!L23)</f>
        <v>1.58</v>
      </c>
      <c r="E112" s="363">
        <f t="shared" si="0"/>
      </c>
      <c r="F112" s="363">
        <f t="shared" si="1"/>
      </c>
      <c r="G112" s="363">
        <f t="shared" si="2"/>
      </c>
      <c r="H112" s="363" t="str">
        <f t="shared" si="3"/>
        <v>ü</v>
      </c>
      <c r="I112" s="364">
        <f t="shared" si="4"/>
      </c>
      <c r="J112" s="263"/>
      <c r="K112" s="266"/>
      <c r="L112" s="266"/>
      <c r="M112" s="396"/>
      <c r="O112" s="395"/>
    </row>
    <row r="113" spans="1:15" ht="43.5" customHeight="1">
      <c r="A113" s="774" t="s">
        <v>16</v>
      </c>
      <c r="B113" s="775"/>
      <c r="C113" s="288">
        <v>2.5</v>
      </c>
      <c r="D113" s="288" t="str">
        <f>IF(('EntryData-ประถม&amp;มัธยม(ตบช.5)'!L27="Auto-calculate"),"Auto-calculate",'EntryData-ประถม&amp;มัธยม(ตบช.5)'!L27)</f>
        <v>Auto-calculate</v>
      </c>
      <c r="E113" s="363" t="str">
        <f t="shared" si="0"/>
        <v>:</v>
      </c>
      <c r="F113" s="363" t="str">
        <f t="shared" si="1"/>
        <v>:</v>
      </c>
      <c r="G113" s="363" t="str">
        <f t="shared" si="2"/>
        <v>:</v>
      </c>
      <c r="H113" s="363" t="str">
        <f t="shared" si="3"/>
        <v>:</v>
      </c>
      <c r="I113" s="364" t="str">
        <f t="shared" si="4"/>
        <v>:</v>
      </c>
      <c r="J113" s="263"/>
      <c r="K113" s="266"/>
      <c r="L113" s="266"/>
      <c r="M113" s="396"/>
      <c r="O113" s="395"/>
    </row>
    <row r="114" spans="1:15" ht="43.5" customHeight="1">
      <c r="A114" s="774" t="s">
        <v>17</v>
      </c>
      <c r="B114" s="775"/>
      <c r="C114" s="288">
        <v>2.5</v>
      </c>
      <c r="D114" s="288">
        <f>IF(('EntryData-ประถม&amp;มัธยม(ตบช.5)'!L31="Auto-calculate"),"Auto-calculate",'EntryData-ประถม&amp;มัธยม(ตบช.5)'!L31)</f>
        <v>0.92</v>
      </c>
      <c r="E114" s="363">
        <f t="shared" si="0"/>
      </c>
      <c r="F114" s="363" t="str">
        <f t="shared" si="1"/>
        <v>ü</v>
      </c>
      <c r="G114" s="363">
        <f t="shared" si="2"/>
      </c>
      <c r="H114" s="363">
        <f t="shared" si="3"/>
      </c>
      <c r="I114" s="364">
        <f t="shared" si="4"/>
      </c>
      <c r="J114" s="263"/>
      <c r="K114" s="266"/>
      <c r="L114" s="266"/>
      <c r="M114" s="396"/>
      <c r="O114" s="395"/>
    </row>
    <row r="115" spans="1:15" ht="43.5" customHeight="1">
      <c r="A115" s="774" t="s">
        <v>18</v>
      </c>
      <c r="B115" s="775"/>
      <c r="C115" s="288">
        <v>2.5</v>
      </c>
      <c r="D115" s="288" t="str">
        <f>IF(('EntryData-ประถม&amp;มัธยม(ตบช.5)'!L35="Auto-calculate"),"Auto-calculate",'EntryData-ประถม&amp;มัธยม(ตบช.5)'!L35)</f>
        <v>Auto-calculate</v>
      </c>
      <c r="E115" s="363" t="str">
        <f t="shared" si="0"/>
        <v>:</v>
      </c>
      <c r="F115" s="363" t="str">
        <f t="shared" si="1"/>
        <v>:</v>
      </c>
      <c r="G115" s="363" t="str">
        <f t="shared" si="2"/>
        <v>:</v>
      </c>
      <c r="H115" s="363" t="str">
        <f t="shared" si="3"/>
        <v>:</v>
      </c>
      <c r="I115" s="364" t="str">
        <f t="shared" si="4"/>
        <v>:</v>
      </c>
      <c r="J115" s="263"/>
      <c r="K115" s="266"/>
      <c r="L115" s="266"/>
      <c r="M115" s="396"/>
      <c r="O115" s="395"/>
    </row>
    <row r="116" spans="1:15" ht="43.5" customHeight="1">
      <c r="A116" s="774" t="s">
        <v>19</v>
      </c>
      <c r="B116" s="775"/>
      <c r="C116" s="288">
        <v>2.5</v>
      </c>
      <c r="D116" s="288" t="str">
        <f>IF(('EntryData-ประถม&amp;มัธยม(ตบช.5)'!L39="Auto-calculate"),"Auto-calculate",'EntryData-ประถม&amp;มัธยม(ตบช.5)'!L39)</f>
        <v>Auto-calculate</v>
      </c>
      <c r="E116" s="363" t="str">
        <f t="shared" si="0"/>
        <v>:</v>
      </c>
      <c r="F116" s="363" t="str">
        <f t="shared" si="1"/>
        <v>:</v>
      </c>
      <c r="G116" s="363" t="str">
        <f t="shared" si="2"/>
        <v>:</v>
      </c>
      <c r="H116" s="363" t="str">
        <f t="shared" si="3"/>
        <v>:</v>
      </c>
      <c r="I116" s="364" t="str">
        <f t="shared" si="4"/>
        <v>:</v>
      </c>
      <c r="J116" s="263"/>
      <c r="K116" s="266"/>
      <c r="L116" s="266"/>
      <c r="M116" s="396"/>
      <c r="O116" s="395"/>
    </row>
    <row r="117" spans="1:19" s="323" customFormat="1" ht="21.75" thickBot="1">
      <c r="A117" s="772" t="s">
        <v>974</v>
      </c>
      <c r="B117" s="773"/>
      <c r="C117" s="322">
        <f>SUM(C109:C116)</f>
        <v>20</v>
      </c>
      <c r="D117" s="322">
        <f>IF(('EntryData-ประถม&amp;มัธยม(ตบช.5)'!L10="Auto-calculate"),"Auto-calculate",'EntryData-ประถม&amp;มัธยม(ตบช.5)'!L10)</f>
        <v>2.5</v>
      </c>
      <c r="E117" s="361" t="str">
        <f>IF((D117="Auto-calculate"),":",IF(AND((D117&gt;=0),(D117&lt;=3.99)),"ü",""))</f>
        <v>ü</v>
      </c>
      <c r="F117" s="365">
        <f>IF((D117="Auto-calculate"),":",IF(AND((D117&gt;=4),(D117&lt;=7.99)),"ü",""))</f>
      </c>
      <c r="G117" s="365">
        <f>IF((D117="Auto-calculate"),":",IF(AND((D117&gt;=8),(D117&lt;=11.99)),"ü",""))</f>
      </c>
      <c r="H117" s="365">
        <f>IF((D117="Auto-calculate"),":",IF(AND((D117&gt;=12),(D117&lt;=15.99)),"ü",""))</f>
      </c>
      <c r="I117" s="366">
        <f>IF((D117="Auto-calculate"),":",IF(AND((D117&gt;=16),(D117&lt;=20)),"ü",""))</f>
      </c>
      <c r="J117" s="265"/>
      <c r="K117" s="266"/>
      <c r="L117" s="266"/>
      <c r="M117" s="399"/>
      <c r="N117" s="399"/>
      <c r="O117" s="402"/>
      <c r="P117" s="399"/>
      <c r="Q117" s="399"/>
      <c r="R117" s="399"/>
      <c r="S117" s="399"/>
    </row>
    <row r="118" spans="1:15" ht="11.25" customHeight="1">
      <c r="A118" s="318"/>
      <c r="B118" s="318"/>
      <c r="C118" s="309"/>
      <c r="D118" s="309"/>
      <c r="E118" s="319"/>
      <c r="F118" s="319"/>
      <c r="G118" s="319"/>
      <c r="H118" s="319"/>
      <c r="I118" s="319"/>
      <c r="J118" s="263"/>
      <c r="K118" s="266"/>
      <c r="L118" s="266"/>
      <c r="M118" s="396"/>
      <c r="O118" s="395"/>
    </row>
    <row r="119" spans="1:15" ht="22.5">
      <c r="A119" s="318"/>
      <c r="B119" s="318"/>
      <c r="C119" s="321" t="s">
        <v>305</v>
      </c>
      <c r="D119" s="378" t="str">
        <f>IF(('EntryData-ประถม&amp;มัธยม(ตบช.5)'!M10="Auto-calculate"),"Auto-calculate",'EntryData-ประถม&amp;มัธยม(ตบช.5)'!M10)</f>
        <v>ต้องปรับปรุงเร่งด่วน</v>
      </c>
      <c r="F119" s="319"/>
      <c r="G119" s="319"/>
      <c r="H119" s="319"/>
      <c r="I119" s="319"/>
      <c r="J119" s="263"/>
      <c r="K119" s="266"/>
      <c r="L119" s="266"/>
      <c r="M119" s="396"/>
      <c r="O119" s="395"/>
    </row>
    <row r="120" spans="1:15" ht="9" customHeight="1">
      <c r="A120" s="318"/>
      <c r="B120" s="318"/>
      <c r="C120" s="309"/>
      <c r="D120" s="309"/>
      <c r="E120" s="319"/>
      <c r="F120" s="319"/>
      <c r="G120" s="319"/>
      <c r="H120" s="319"/>
      <c r="I120" s="319"/>
      <c r="J120" s="263"/>
      <c r="K120" s="266"/>
      <c r="L120" s="266"/>
      <c r="M120" s="396"/>
      <c r="O120" s="395"/>
    </row>
    <row r="121" spans="1:2" ht="21">
      <c r="A121" s="284" t="s">
        <v>20</v>
      </c>
      <c r="B121" s="284"/>
    </row>
    <row r="122" ht="9.75" customHeight="1" thickBot="1"/>
    <row r="123" spans="1:15" ht="21">
      <c r="A123" s="689" t="s">
        <v>688</v>
      </c>
      <c r="B123" s="690"/>
      <c r="C123" s="285" t="s">
        <v>644</v>
      </c>
      <c r="D123" s="285" t="s">
        <v>689</v>
      </c>
      <c r="E123" s="684" t="s">
        <v>697</v>
      </c>
      <c r="F123" s="685"/>
      <c r="G123" s="685"/>
      <c r="H123" s="685"/>
      <c r="I123" s="686"/>
      <c r="J123" s="263"/>
      <c r="K123" s="266"/>
      <c r="L123" s="266"/>
      <c r="M123" s="396"/>
      <c r="O123" s="395"/>
    </row>
    <row r="124" spans="1:15" ht="42">
      <c r="A124" s="691"/>
      <c r="B124" s="692"/>
      <c r="C124" s="333" t="s">
        <v>831</v>
      </c>
      <c r="D124" s="334" t="s">
        <v>690</v>
      </c>
      <c r="E124" s="316" t="s">
        <v>691</v>
      </c>
      <c r="F124" s="316" t="s">
        <v>692</v>
      </c>
      <c r="G124" s="316" t="s">
        <v>822</v>
      </c>
      <c r="H124" s="316" t="s">
        <v>823</v>
      </c>
      <c r="I124" s="317" t="s">
        <v>824</v>
      </c>
      <c r="J124" s="263"/>
      <c r="K124" s="266"/>
      <c r="L124" s="266"/>
      <c r="M124" s="396"/>
      <c r="O124" s="395"/>
    </row>
    <row r="125" spans="1:15" ht="21">
      <c r="A125" s="682" t="s">
        <v>21</v>
      </c>
      <c r="B125" s="683"/>
      <c r="C125" s="288">
        <v>5</v>
      </c>
      <c r="D125" s="288" t="str">
        <f>IF(('EntryData-ประถม&amp;มัธยม(ตบช.6-12)'!E10="Auto-calculate"),"Auto-calculate",'EntryData-ประถม&amp;มัธยม(ตบช.6-12)'!E10)</f>
        <v>Auto-calculate</v>
      </c>
      <c r="E125" s="363" t="str">
        <f>IF((D125="Auto-calculate"),":",IF((D125&lt;=1),"ü",""))</f>
        <v>:</v>
      </c>
      <c r="F125" s="363" t="str">
        <f>IF((D125="Auto-calculate"),":",IF((D125=2),"ü",""))</f>
        <v>:</v>
      </c>
      <c r="G125" s="363" t="str">
        <f>IF((D125="Auto-calculate"),":",IF((D125=3),"ü",""))</f>
        <v>:</v>
      </c>
      <c r="H125" s="363" t="str">
        <f>IF((D125="Auto-calculate"),":",IF((D125=4),"ü",""))</f>
        <v>:</v>
      </c>
      <c r="I125" s="364" t="str">
        <f>IF((D125="Auto-calculate"),":",IF((D125=5),"ü",""))</f>
        <v>:</v>
      </c>
      <c r="J125" s="263"/>
      <c r="K125" s="266"/>
      <c r="L125" s="266"/>
      <c r="M125" s="396"/>
      <c r="O125" s="395"/>
    </row>
    <row r="126" spans="1:15" ht="21">
      <c r="A126" s="682" t="s">
        <v>22</v>
      </c>
      <c r="B126" s="683"/>
      <c r="C126" s="288">
        <v>5</v>
      </c>
      <c r="D126" s="288" t="str">
        <f>IF(('EntryData-ประถม&amp;มัธยม(ตบช.6-12)'!E16="Auto-calculate"),"Auto-calculate",'EntryData-ประถม&amp;มัธยม(ตบช.6-12)'!E16)</f>
        <v>Auto-calculate</v>
      </c>
      <c r="E126" s="363" t="str">
        <f>IF((D126="Auto-calculate"),":",IF((D126&lt;=1),"ü",""))</f>
        <v>:</v>
      </c>
      <c r="F126" s="363" t="str">
        <f>IF((D126="Auto-calculate"),":",IF((D126=2),"ü",""))</f>
        <v>:</v>
      </c>
      <c r="G126" s="363" t="str">
        <f>IF((D126="Auto-calculate"),":",IF((D126=3),"ü",""))</f>
        <v>:</v>
      </c>
      <c r="H126" s="363" t="str">
        <f>IF((D126="Auto-calculate"),":",IF((D126=4),"ü",""))</f>
        <v>:</v>
      </c>
      <c r="I126" s="364" t="str">
        <f>IF((D126="Auto-calculate"),":",IF((D126=5),"ü",""))</f>
        <v>:</v>
      </c>
      <c r="J126" s="263"/>
      <c r="K126" s="266"/>
      <c r="L126" s="266"/>
      <c r="M126" s="396"/>
      <c r="O126" s="395"/>
    </row>
    <row r="127" spans="1:15" ht="21.75" thickBot="1">
      <c r="A127" s="772" t="s">
        <v>975</v>
      </c>
      <c r="B127" s="773"/>
      <c r="C127" s="326">
        <f>SUM(C125:C126)</f>
        <v>10</v>
      </c>
      <c r="D127" s="325" t="str">
        <f>IF(('EntryData-ประถม&amp;มัธยม(ตบช.6-12)'!E9="Auto-calculate"),"Auto-calculate",'EntryData-ประถม&amp;มัธยม(ตบช.6-12)'!E9)</f>
        <v>Auto-calculate</v>
      </c>
      <c r="E127" s="361" t="str">
        <f>IF((D127="Auto-calculate"),":",IF(AND((D127&gt;=0),(D127&lt;=4.99)),"ü",""))</f>
        <v>:</v>
      </c>
      <c r="F127" s="361" t="str">
        <f>IF((D127="Auto-calculate"),":",IF(AND((D127&gt;=5),(D127&lt;=5.99)),"ü",""))</f>
        <v>:</v>
      </c>
      <c r="G127" s="361" t="str">
        <f>IF((D127="Auto-calculate"),":",IF(AND((D127&gt;=6),(D127&lt;=7.49)),"ü",""))</f>
        <v>:</v>
      </c>
      <c r="H127" s="361" t="str">
        <f>IF((D127="Auto-calculate"),":",IF(AND((D127&gt;=7.5),(D127&lt;=8.99)),"ü",""))</f>
        <v>:</v>
      </c>
      <c r="I127" s="362" t="str">
        <f>IF((D127="Auto-calculate"),":",IF(AND((D127&gt;=9),(D127&lt;=10)),"ü",""))</f>
        <v>:</v>
      </c>
      <c r="J127" s="263"/>
      <c r="K127" s="266"/>
      <c r="L127" s="266"/>
      <c r="M127" s="396"/>
      <c r="O127" s="395"/>
    </row>
    <row r="128" spans="1:15" ht="11.25" customHeight="1">
      <c r="A128" s="318"/>
      <c r="B128" s="318"/>
      <c r="C128" s="309"/>
      <c r="D128" s="309"/>
      <c r="E128" s="319"/>
      <c r="F128" s="319"/>
      <c r="G128" s="319"/>
      <c r="H128" s="319"/>
      <c r="I128" s="319"/>
      <c r="J128" s="263"/>
      <c r="K128" s="266"/>
      <c r="L128" s="266"/>
      <c r="M128" s="396"/>
      <c r="O128" s="395"/>
    </row>
    <row r="129" spans="1:15" ht="21">
      <c r="A129" s="318"/>
      <c r="B129" s="318"/>
      <c r="C129" s="321" t="s">
        <v>304</v>
      </c>
      <c r="D129" s="379" t="str">
        <f>IF(('EntryData-ประถม&amp;มัธยม(ตบช.6-12)'!F9="Auto-calculate"),"Auto-calculate",'EntryData-ประถม&amp;มัธยม(ตบช.6-12)'!F9)</f>
        <v>Auto-calculate</v>
      </c>
      <c r="E129" s="319"/>
      <c r="F129" s="319"/>
      <c r="G129" s="319"/>
      <c r="H129" s="319"/>
      <c r="I129" s="319"/>
      <c r="J129" s="263"/>
      <c r="K129" s="266"/>
      <c r="L129" s="266"/>
      <c r="M129" s="396"/>
      <c r="O129" s="395"/>
    </row>
    <row r="130" spans="1:15" ht="9" customHeight="1">
      <c r="A130" s="318"/>
      <c r="B130" s="318"/>
      <c r="C130" s="264"/>
      <c r="D130" s="321"/>
      <c r="E130" s="319"/>
      <c r="F130" s="319"/>
      <c r="G130" s="319"/>
      <c r="H130" s="319"/>
      <c r="I130" s="319"/>
      <c r="J130" s="263"/>
      <c r="K130" s="266"/>
      <c r="L130" s="266"/>
      <c r="M130" s="396"/>
      <c r="O130" s="395"/>
    </row>
    <row r="131" spans="1:2" ht="21">
      <c r="A131" s="284" t="s">
        <v>23</v>
      </c>
      <c r="B131" s="284"/>
    </row>
    <row r="132" ht="9.75" customHeight="1" thickBot="1"/>
    <row r="133" spans="1:15" ht="21">
      <c r="A133" s="689" t="s">
        <v>688</v>
      </c>
      <c r="B133" s="690"/>
      <c r="C133" s="285" t="s">
        <v>644</v>
      </c>
      <c r="D133" s="285" t="s">
        <v>689</v>
      </c>
      <c r="E133" s="684" t="s">
        <v>697</v>
      </c>
      <c r="F133" s="685"/>
      <c r="G133" s="685"/>
      <c r="H133" s="685"/>
      <c r="I133" s="686"/>
      <c r="J133" s="263"/>
      <c r="K133" s="266"/>
      <c r="L133" s="266"/>
      <c r="M133" s="396"/>
      <c r="O133" s="395"/>
    </row>
    <row r="134" spans="1:15" ht="42">
      <c r="A134" s="691"/>
      <c r="B134" s="692"/>
      <c r="C134" s="333" t="s">
        <v>831</v>
      </c>
      <c r="D134" s="334" t="s">
        <v>690</v>
      </c>
      <c r="E134" s="316" t="s">
        <v>691</v>
      </c>
      <c r="F134" s="316" t="s">
        <v>692</v>
      </c>
      <c r="G134" s="316" t="s">
        <v>822</v>
      </c>
      <c r="H134" s="316" t="s">
        <v>823</v>
      </c>
      <c r="I134" s="317" t="s">
        <v>824</v>
      </c>
      <c r="J134" s="263"/>
      <c r="K134" s="266"/>
      <c r="L134" s="266"/>
      <c r="M134" s="396"/>
      <c r="O134" s="395"/>
    </row>
    <row r="135" spans="1:15" ht="45" customHeight="1">
      <c r="A135" s="780" t="s">
        <v>24</v>
      </c>
      <c r="B135" s="781"/>
      <c r="C135" s="288">
        <v>2</v>
      </c>
      <c r="D135" s="288" t="str">
        <f>IF(('EntryData-ประถม&amp;มัธยม(ตบช.6-12)'!E20="Auto-calculate"),"Auto-calculate",'EntryData-ประถม&amp;มัธยม(ตบช.6-12)'!E20)</f>
        <v>Auto-calculate</v>
      </c>
      <c r="E135" s="359"/>
      <c r="F135" s="359"/>
      <c r="G135" s="359"/>
      <c r="H135" s="359"/>
      <c r="I135" s="360"/>
      <c r="J135" s="263"/>
      <c r="K135" s="266"/>
      <c r="L135" s="266"/>
      <c r="M135" s="396"/>
      <c r="O135" s="395"/>
    </row>
    <row r="136" spans="1:15" ht="42.75" customHeight="1">
      <c r="A136" s="780" t="s">
        <v>25</v>
      </c>
      <c r="B136" s="781"/>
      <c r="C136" s="288">
        <v>1</v>
      </c>
      <c r="D136" s="288" t="str">
        <f>IF(('EntryData-ประถม&amp;มัธยม(ตบช.6-12)'!E45="Auto-calculate"),"Auto-calculate",'EntryData-ประถม&amp;มัธยม(ตบช.6-12)'!E45)</f>
        <v>Auto-calculate</v>
      </c>
      <c r="E136" s="359"/>
      <c r="F136" s="359"/>
      <c r="G136" s="359"/>
      <c r="H136" s="359"/>
      <c r="I136" s="360"/>
      <c r="J136" s="263"/>
      <c r="K136" s="266"/>
      <c r="L136" s="266"/>
      <c r="M136" s="396"/>
      <c r="O136" s="395"/>
    </row>
    <row r="137" spans="1:15" ht="21">
      <c r="A137" s="780" t="s">
        <v>26</v>
      </c>
      <c r="B137" s="781"/>
      <c r="C137" s="288">
        <v>2</v>
      </c>
      <c r="D137" s="288" t="str">
        <f>IF(('EntryData-ประถม&amp;มัธยม(ตบช.6-12)'!E60="Auto-calculate"),"Auto-calculate",'EntryData-ประถม&amp;มัธยม(ตบช.6-12)'!E60)</f>
        <v>Auto-calculate</v>
      </c>
      <c r="E137" s="359"/>
      <c r="F137" s="359"/>
      <c r="G137" s="359"/>
      <c r="H137" s="359"/>
      <c r="I137" s="360"/>
      <c r="J137" s="263"/>
      <c r="K137" s="266"/>
      <c r="L137" s="266"/>
      <c r="M137" s="396"/>
      <c r="O137" s="395"/>
    </row>
    <row r="138" spans="1:15" ht="21.75" thickBot="1">
      <c r="A138" s="772" t="s">
        <v>976</v>
      </c>
      <c r="B138" s="773"/>
      <c r="C138" s="324">
        <f>SUM(C135:C137)</f>
        <v>5</v>
      </c>
      <c r="D138" s="322" t="str">
        <f>IF(('EntryData-ประถม&amp;มัธยม(ตบช.6-12)'!E19="Auto-calculate"),"Auto-calculate",'EntryData-ประถม&amp;มัธยม(ตบช.6-12)'!E19)</f>
        <v>Auto-calculate</v>
      </c>
      <c r="E138" s="361" t="str">
        <f>IF((D138="Auto-calculate"),":",IF(AND((D138&gt;=0),(D138&lt;=2.49)),"ü",""))</f>
        <v>:</v>
      </c>
      <c r="F138" s="361" t="str">
        <f>IF((D138="Auto-calculate"),":",IF(AND((D138&gt;=2.5),(D138&lt;=2.99)),"ü",""))</f>
        <v>:</v>
      </c>
      <c r="G138" s="361" t="str">
        <f>IF((D138="Auto-calculate"),":",IF(AND((D138&gt;=3),(D138&lt;=3.74)),"ü",""))</f>
        <v>:</v>
      </c>
      <c r="H138" s="361" t="str">
        <f>IF((D138="Auto-calculate"),":",IF(AND((D138&gt;=3.75),(D138&lt;=4.49)),"ü",""))</f>
        <v>:</v>
      </c>
      <c r="I138" s="362" t="str">
        <f>IF((D138="Auto-calculate"),":",IF(AND((D138&gt;=4.5),(D138&lt;=5)),"ü",""))</f>
        <v>:</v>
      </c>
      <c r="J138" s="263"/>
      <c r="K138" s="266"/>
      <c r="L138" s="266"/>
      <c r="M138" s="396"/>
      <c r="O138" s="395"/>
    </row>
    <row r="139" spans="1:15" ht="11.25" customHeight="1">
      <c r="A139" s="318"/>
      <c r="B139" s="318"/>
      <c r="C139" s="309"/>
      <c r="D139" s="309"/>
      <c r="E139" s="319"/>
      <c r="F139" s="319"/>
      <c r="G139" s="319"/>
      <c r="H139" s="319"/>
      <c r="I139" s="319"/>
      <c r="J139" s="263"/>
      <c r="K139" s="266"/>
      <c r="L139" s="266"/>
      <c r="M139" s="396"/>
      <c r="O139" s="395"/>
    </row>
    <row r="140" spans="1:15" ht="21">
      <c r="A140" s="318"/>
      <c r="B140" s="318"/>
      <c r="C140" s="321" t="s">
        <v>303</v>
      </c>
      <c r="D140" s="379" t="str">
        <f>IF(('EntryData-ประถม&amp;มัธยม(ตบช.6-12)'!F19="Auto-calculate"),"Auto-calculate",'EntryData-ประถม&amp;มัธยม(ตบช.6-12)'!F19)</f>
        <v>Auto-calculate</v>
      </c>
      <c r="E140" s="319"/>
      <c r="F140" s="319"/>
      <c r="G140" s="319"/>
      <c r="H140" s="319"/>
      <c r="I140" s="319"/>
      <c r="J140" s="263"/>
      <c r="K140" s="266"/>
      <c r="L140" s="266"/>
      <c r="M140" s="396"/>
      <c r="O140" s="395"/>
    </row>
    <row r="141" spans="1:15" ht="9" customHeight="1">
      <c r="A141" s="318"/>
      <c r="B141" s="318"/>
      <c r="C141" s="264"/>
      <c r="D141" s="321"/>
      <c r="E141" s="319"/>
      <c r="F141" s="319"/>
      <c r="G141" s="319"/>
      <c r="H141" s="319"/>
      <c r="I141" s="319"/>
      <c r="J141" s="263"/>
      <c r="K141" s="266"/>
      <c r="L141" s="266"/>
      <c r="M141" s="396"/>
      <c r="O141" s="395"/>
    </row>
    <row r="142" spans="1:2" ht="21">
      <c r="A142" s="284" t="s">
        <v>27</v>
      </c>
      <c r="B142" s="284"/>
    </row>
    <row r="143" ht="9.75" customHeight="1" thickBot="1"/>
    <row r="144" spans="1:15" ht="21">
      <c r="A144" s="689" t="s">
        <v>688</v>
      </c>
      <c r="B144" s="690"/>
      <c r="C144" s="285" t="s">
        <v>644</v>
      </c>
      <c r="D144" s="285" t="s">
        <v>689</v>
      </c>
      <c r="E144" s="684" t="s">
        <v>697</v>
      </c>
      <c r="F144" s="685"/>
      <c r="G144" s="685"/>
      <c r="H144" s="685"/>
      <c r="I144" s="686"/>
      <c r="J144" s="263"/>
      <c r="K144" s="266"/>
      <c r="L144" s="266"/>
      <c r="M144" s="396"/>
      <c r="O144" s="395"/>
    </row>
    <row r="145" spans="1:15" ht="42">
      <c r="A145" s="691"/>
      <c r="B145" s="692"/>
      <c r="C145" s="320" t="s">
        <v>831</v>
      </c>
      <c r="D145" s="286" t="s">
        <v>690</v>
      </c>
      <c r="E145" s="316" t="s">
        <v>691</v>
      </c>
      <c r="F145" s="316" t="s">
        <v>692</v>
      </c>
      <c r="G145" s="316" t="s">
        <v>822</v>
      </c>
      <c r="H145" s="316" t="s">
        <v>823</v>
      </c>
      <c r="I145" s="317" t="s">
        <v>824</v>
      </c>
      <c r="J145" s="263"/>
      <c r="K145" s="266"/>
      <c r="L145" s="266"/>
      <c r="M145" s="396"/>
      <c r="O145" s="395"/>
    </row>
    <row r="146" spans="1:15" ht="42.75" customHeight="1">
      <c r="A146" s="682" t="s">
        <v>44</v>
      </c>
      <c r="B146" s="683"/>
      <c r="C146" s="288">
        <v>2.5</v>
      </c>
      <c r="D146" s="288" t="str">
        <f>IF(('EntryData-ประถม&amp;มัธยม(ตบช.6-12)'!E65="Auto-calculate"),"Auto-calculate",'EntryData-ประถม&amp;มัธยม(ตบช.6-12)'!E65)</f>
        <v>Auto-calculate</v>
      </c>
      <c r="E146" s="359"/>
      <c r="F146" s="359"/>
      <c r="G146" s="359"/>
      <c r="H146" s="359"/>
      <c r="I146" s="360"/>
      <c r="J146" s="263"/>
      <c r="K146" s="266"/>
      <c r="L146" s="266"/>
      <c r="M146" s="396"/>
      <c r="O146" s="395"/>
    </row>
    <row r="147" spans="1:15" ht="39" customHeight="1">
      <c r="A147" s="682" t="s">
        <v>28</v>
      </c>
      <c r="B147" s="683"/>
      <c r="C147" s="288">
        <v>2.5</v>
      </c>
      <c r="D147" s="288" t="str">
        <f>IF(('EntryData-ประถม&amp;มัธยม(ตบช.6-12)'!E66="Auto-calculate"),"Auto-calculate",'EntryData-ประถม&amp;มัธยม(ตบช.6-12)'!E66)</f>
        <v>Auto-calculate</v>
      </c>
      <c r="E147" s="359"/>
      <c r="F147" s="359"/>
      <c r="G147" s="359"/>
      <c r="H147" s="359"/>
      <c r="I147" s="360"/>
      <c r="J147" s="263"/>
      <c r="K147" s="266"/>
      <c r="L147" s="266"/>
      <c r="M147" s="396"/>
      <c r="O147" s="395"/>
    </row>
    <row r="148" spans="1:15" ht="21.75" thickBot="1">
      <c r="A148" s="772" t="s">
        <v>977</v>
      </c>
      <c r="B148" s="773"/>
      <c r="C148" s="326">
        <f>SUM(C146:C147)</f>
        <v>5</v>
      </c>
      <c r="D148" s="325" t="str">
        <f>IF(('EntryData-ประถม&amp;มัธยม(ตบช.6-12)'!E64="Auto-calculate"),"Auto-calculate",'EntryData-ประถม&amp;มัธยม(ตบช.6-12)'!E64)</f>
        <v>Auto-calculate</v>
      </c>
      <c r="E148" s="361" t="str">
        <f>IF((D148="Auto-calculate"),":",IF(AND((D148&gt;=0),(D148&lt;=2.49)),"ü",""))</f>
        <v>:</v>
      </c>
      <c r="F148" s="361" t="str">
        <f>IF((D148="Auto-calculate"),":",IF(AND((D148&gt;=2.5),(D148&lt;=2.99)),"ü",""))</f>
        <v>:</v>
      </c>
      <c r="G148" s="361" t="str">
        <f>IF((D148="Auto-calculate"),":",IF(AND((D148&gt;=3),(D148&lt;=3.74)),"ü",""))</f>
        <v>:</v>
      </c>
      <c r="H148" s="361" t="str">
        <f>IF((D148="Auto-calculate"),":",IF(AND((D148&gt;=3.75),(D148&lt;=4.49)),"ü",""))</f>
        <v>:</v>
      </c>
      <c r="I148" s="362" t="str">
        <f>IF((D148="Auto-calculate"),":",IF(AND((D148&gt;=4.5),(D148&lt;=5)),"ü",""))</f>
        <v>:</v>
      </c>
      <c r="J148" s="263"/>
      <c r="K148" s="266"/>
      <c r="L148" s="266"/>
      <c r="M148" s="396"/>
      <c r="O148" s="395"/>
    </row>
    <row r="149" spans="1:15" ht="11.25" customHeight="1">
      <c r="A149" s="318"/>
      <c r="B149" s="318"/>
      <c r="C149" s="309"/>
      <c r="D149" s="309"/>
      <c r="E149" s="319"/>
      <c r="F149" s="319"/>
      <c r="G149" s="319"/>
      <c r="H149" s="319"/>
      <c r="I149" s="319"/>
      <c r="J149" s="263"/>
      <c r="K149" s="266"/>
      <c r="L149" s="266"/>
      <c r="M149" s="396"/>
      <c r="O149" s="395"/>
    </row>
    <row r="150" spans="1:15" ht="21">
      <c r="A150" s="318"/>
      <c r="B150" s="318"/>
      <c r="C150" s="321" t="s">
        <v>79</v>
      </c>
      <c r="D150" s="379" t="str">
        <f>IF(('EntryData-ประถม&amp;มัธยม(ตบช.6-12)'!F64="Auto-calculate"),"Auto-calculate",'EntryData-ประถม&amp;มัธยม(ตบช.6-12)'!F64)</f>
        <v>Auto-calculate</v>
      </c>
      <c r="E150" s="319"/>
      <c r="F150" s="319"/>
      <c r="G150" s="319"/>
      <c r="H150" s="319"/>
      <c r="I150" s="319"/>
      <c r="J150" s="263"/>
      <c r="K150" s="266"/>
      <c r="L150" s="266"/>
      <c r="M150" s="396"/>
      <c r="O150" s="395"/>
    </row>
    <row r="151" spans="1:15" ht="8.25" customHeight="1">
      <c r="A151" s="318"/>
      <c r="B151" s="318"/>
      <c r="C151" s="309"/>
      <c r="D151" s="309"/>
      <c r="E151" s="319"/>
      <c r="F151" s="319"/>
      <c r="G151" s="319"/>
      <c r="H151" s="319"/>
      <c r="I151" s="319"/>
      <c r="J151" s="263"/>
      <c r="K151" s="266"/>
      <c r="L151" s="266"/>
      <c r="M151" s="396"/>
      <c r="O151" s="395"/>
    </row>
    <row r="152" spans="1:2" ht="21">
      <c r="A152" s="283" t="s">
        <v>833</v>
      </c>
      <c r="B152" s="283"/>
    </row>
    <row r="153" spans="1:2" ht="9" customHeight="1">
      <c r="A153" s="283"/>
      <c r="B153" s="283"/>
    </row>
    <row r="154" spans="1:2" ht="21">
      <c r="A154" s="284" t="s">
        <v>1038</v>
      </c>
      <c r="B154" s="284"/>
    </row>
    <row r="155" ht="9.75" customHeight="1" thickBot="1"/>
    <row r="156" spans="1:15" ht="21">
      <c r="A156" s="689" t="s">
        <v>31</v>
      </c>
      <c r="B156" s="690"/>
      <c r="C156" s="285" t="s">
        <v>644</v>
      </c>
      <c r="D156" s="285" t="s">
        <v>689</v>
      </c>
      <c r="E156" s="684" t="s">
        <v>697</v>
      </c>
      <c r="F156" s="685"/>
      <c r="G156" s="685"/>
      <c r="H156" s="685"/>
      <c r="I156" s="686"/>
      <c r="J156" s="263"/>
      <c r="K156" s="266"/>
      <c r="L156" s="266"/>
      <c r="M156" s="396"/>
      <c r="O156" s="395"/>
    </row>
    <row r="157" spans="1:15" ht="42">
      <c r="A157" s="691"/>
      <c r="B157" s="692"/>
      <c r="C157" s="333" t="s">
        <v>831</v>
      </c>
      <c r="D157" s="334" t="s">
        <v>690</v>
      </c>
      <c r="E157" s="316" t="s">
        <v>691</v>
      </c>
      <c r="F157" s="316" t="s">
        <v>692</v>
      </c>
      <c r="G157" s="316" t="s">
        <v>822</v>
      </c>
      <c r="H157" s="316" t="s">
        <v>823</v>
      </c>
      <c r="I157" s="317" t="s">
        <v>824</v>
      </c>
      <c r="J157" s="263"/>
      <c r="K157" s="266"/>
      <c r="L157" s="266"/>
      <c r="M157" s="396"/>
      <c r="O157" s="395"/>
    </row>
    <row r="158" spans="1:15" ht="46.5" customHeight="1">
      <c r="A158" s="682" t="s">
        <v>1039</v>
      </c>
      <c r="B158" s="683"/>
      <c r="C158" s="288">
        <v>5</v>
      </c>
      <c r="D158" s="288" t="str">
        <f>IF(('EntryData-ประถม&amp;มัธยม(ตบช.6-12)'!E75="Auto-calculate"),"Auto-calculate",'EntryData-ประถม&amp;มัธยม(ตบช.6-12)'!E75)</f>
        <v>Auto-calculate</v>
      </c>
      <c r="E158" s="363" t="str">
        <f>IF((D158="Auto-calculate"),":",IF((D158&lt;=1),"ü",""))</f>
        <v>:</v>
      </c>
      <c r="F158" s="363" t="str">
        <f>IF((D158="Auto-calculate"),":",IF((D158=2),"ü",""))</f>
        <v>:</v>
      </c>
      <c r="G158" s="363" t="str">
        <f>IF((D158="Auto-calculate"),":",IF((D158=3),"ü",""))</f>
        <v>:</v>
      </c>
      <c r="H158" s="363" t="str">
        <f>IF((D158="Auto-calculate"),":",IF((D158=4),"ü",""))</f>
        <v>:</v>
      </c>
      <c r="I158" s="364" t="str">
        <f>IF((D158="Auto-calculate"),":",IF((D158=5),"ü",""))</f>
        <v>:</v>
      </c>
      <c r="J158" s="263"/>
      <c r="K158" s="266"/>
      <c r="L158" s="266"/>
      <c r="M158" s="396"/>
      <c r="O158" s="395"/>
    </row>
    <row r="159" spans="1:15" ht="21.75" thickBot="1">
      <c r="A159" s="772" t="s">
        <v>978</v>
      </c>
      <c r="B159" s="773"/>
      <c r="C159" s="326">
        <f>SUM(C158:C158)</f>
        <v>5</v>
      </c>
      <c r="D159" s="325" t="str">
        <f>IF(('EntryData-ประถม&amp;มัธยม(ตบช.6-12)'!E75="Auto-calculate"),"Auto-calculate",'EntryData-ประถม&amp;มัธยม(ตบช.6-12)'!E75)</f>
        <v>Auto-calculate</v>
      </c>
      <c r="E159" s="290" t="str">
        <f>IF((D159="Auto-calculate"),":",IF((D159&lt;=1),"ü",""))</f>
        <v>:</v>
      </c>
      <c r="F159" s="290" t="str">
        <f>IF((D159="Auto-calculate"),":",IF((D159=2),"ü",""))</f>
        <v>:</v>
      </c>
      <c r="G159" s="290" t="str">
        <f>IF((D159="Auto-calculate"),":",IF((D159=3),"ü",""))</f>
        <v>:</v>
      </c>
      <c r="H159" s="290" t="str">
        <f>IF((D159="Auto-calculate"),":",IF((D159=4),"ü",""))</f>
        <v>:</v>
      </c>
      <c r="I159" s="291" t="str">
        <f>IF((D159="Auto-calculate"),":",IF((D159=5),"ü",""))</f>
        <v>:</v>
      </c>
      <c r="J159" s="263"/>
      <c r="K159" s="266"/>
      <c r="L159" s="266"/>
      <c r="M159" s="396"/>
      <c r="O159" s="395"/>
    </row>
    <row r="160" spans="1:15" ht="11.25" customHeight="1">
      <c r="A160" s="318"/>
      <c r="B160" s="318"/>
      <c r="C160" s="309"/>
      <c r="D160" s="309"/>
      <c r="E160" s="319"/>
      <c r="F160" s="319"/>
      <c r="G160" s="319"/>
      <c r="H160" s="319"/>
      <c r="I160" s="319"/>
      <c r="J160" s="263"/>
      <c r="K160" s="266"/>
      <c r="L160" s="266"/>
      <c r="M160" s="396"/>
      <c r="O160" s="395"/>
    </row>
    <row r="161" spans="1:15" ht="21">
      <c r="A161" s="318"/>
      <c r="B161" s="318"/>
      <c r="C161" s="321" t="s">
        <v>78</v>
      </c>
      <c r="D161" s="379" t="str">
        <f>IF(('EntryData-ประถม&amp;มัธยม(ตบช.6-12)'!F75="Auto-calculate"),"Auto-calculate",'EntryData-ประถม&amp;มัธยม(ตบช.6-12)'!F75)</f>
        <v>Auto-calculate</v>
      </c>
      <c r="E161" s="319"/>
      <c r="F161" s="319"/>
      <c r="G161" s="319"/>
      <c r="H161" s="319"/>
      <c r="I161" s="319"/>
      <c r="J161" s="263"/>
      <c r="K161" s="266"/>
      <c r="L161" s="266"/>
      <c r="M161" s="396"/>
      <c r="O161" s="395"/>
    </row>
    <row r="162" spans="1:2" ht="10.5" customHeight="1">
      <c r="A162" s="283"/>
      <c r="B162" s="283"/>
    </row>
    <row r="163" spans="1:2" ht="21">
      <c r="A163" s="284" t="s">
        <v>29</v>
      </c>
      <c r="B163" s="284"/>
    </row>
    <row r="164" ht="9.75" customHeight="1" thickBot="1"/>
    <row r="165" spans="1:15" ht="21">
      <c r="A165" s="689" t="s">
        <v>31</v>
      </c>
      <c r="B165" s="690"/>
      <c r="C165" s="285" t="s">
        <v>644</v>
      </c>
      <c r="D165" s="285" t="s">
        <v>689</v>
      </c>
      <c r="E165" s="684" t="s">
        <v>697</v>
      </c>
      <c r="F165" s="685"/>
      <c r="G165" s="685"/>
      <c r="H165" s="685"/>
      <c r="I165" s="686"/>
      <c r="J165" s="263"/>
      <c r="K165" s="266"/>
      <c r="L165" s="266"/>
      <c r="M165" s="396"/>
      <c r="O165" s="395"/>
    </row>
    <row r="166" spans="1:15" ht="42">
      <c r="A166" s="691"/>
      <c r="B166" s="692"/>
      <c r="C166" s="320" t="s">
        <v>831</v>
      </c>
      <c r="D166" s="286" t="s">
        <v>690</v>
      </c>
      <c r="E166" s="316" t="s">
        <v>691</v>
      </c>
      <c r="F166" s="316" t="s">
        <v>692</v>
      </c>
      <c r="G166" s="316" t="s">
        <v>822</v>
      </c>
      <c r="H166" s="316" t="s">
        <v>823</v>
      </c>
      <c r="I166" s="317" t="s">
        <v>824</v>
      </c>
      <c r="J166" s="263"/>
      <c r="K166" s="266"/>
      <c r="L166" s="266"/>
      <c r="M166" s="396"/>
      <c r="O166" s="395"/>
    </row>
    <row r="167" spans="1:15" ht="44.25" customHeight="1">
      <c r="A167" s="682" t="s">
        <v>30</v>
      </c>
      <c r="B167" s="683"/>
      <c r="C167" s="288">
        <v>5</v>
      </c>
      <c r="D167" s="288" t="str">
        <f>IF(('EntryData-ประถม&amp;มัธยม(ตบช.6-12)'!E81="Auto-calculate"),"Auto-calculate",'EntryData-ประถม&amp;มัธยม(ตบช.6-12)'!E81)</f>
        <v>Auto-calculate</v>
      </c>
      <c r="E167" s="363" t="str">
        <f>IF((D167="Auto-calculate"),":",IF((D167&lt;=1),"ü",""))</f>
        <v>:</v>
      </c>
      <c r="F167" s="363" t="str">
        <f>IF((D167="Auto-calculate"),":",IF((D167=2),"ü",""))</f>
        <v>:</v>
      </c>
      <c r="G167" s="363" t="str">
        <f>IF((D167="Auto-calculate"),":",IF((D167=3),"ü",""))</f>
        <v>:</v>
      </c>
      <c r="H167" s="363" t="str">
        <f>IF((D167="Auto-calculate"),":",IF((D167=4),"ü",""))</f>
        <v>:</v>
      </c>
      <c r="I167" s="364" t="str">
        <f>IF((D167="Auto-calculate"),":",IF((D167=5),"ü",""))</f>
        <v>:</v>
      </c>
      <c r="J167" s="263"/>
      <c r="K167" s="266"/>
      <c r="L167" s="266"/>
      <c r="M167" s="396"/>
      <c r="O167" s="395"/>
    </row>
    <row r="168" spans="1:15" ht="21.75" thickBot="1">
      <c r="A168" s="772" t="s">
        <v>979</v>
      </c>
      <c r="B168" s="773"/>
      <c r="C168" s="326">
        <f>SUM(C167:C167)</f>
        <v>5</v>
      </c>
      <c r="D168" s="325" t="str">
        <f>IF(('EntryData-ประถม&amp;มัธยม(ตบช.6-12)'!E81="Auto-calculate"),"Auto-calculate",'EntryData-ประถม&amp;มัธยม(ตบช.6-12)'!E81)</f>
        <v>Auto-calculate</v>
      </c>
      <c r="E168" s="290" t="str">
        <f>IF((D168="Auto-calculate"),":",IF((D168&lt;=1),"ü",""))</f>
        <v>:</v>
      </c>
      <c r="F168" s="290" t="str">
        <f>IF((D168="Auto-calculate"),":",IF((D168=2),"ü",""))</f>
        <v>:</v>
      </c>
      <c r="G168" s="290" t="str">
        <f>IF((D168="Auto-calculate"),":",IF((D168=3),"ü",""))</f>
        <v>:</v>
      </c>
      <c r="H168" s="290" t="str">
        <f>IF((D168="Auto-calculate"),":",IF((D168=4),"ü",""))</f>
        <v>:</v>
      </c>
      <c r="I168" s="291" t="str">
        <f>IF((D168="Auto-calculate"),":",IF((D168=5),"ü",""))</f>
        <v>:</v>
      </c>
      <c r="J168" s="263"/>
      <c r="K168" s="266"/>
      <c r="L168" s="266"/>
      <c r="M168" s="396"/>
      <c r="O168" s="395"/>
    </row>
    <row r="169" spans="1:15" ht="11.25" customHeight="1">
      <c r="A169" s="318"/>
      <c r="B169" s="318"/>
      <c r="C169" s="309"/>
      <c r="D169" s="309"/>
      <c r="E169" s="319"/>
      <c r="F169" s="319"/>
      <c r="G169" s="319"/>
      <c r="H169" s="319"/>
      <c r="I169" s="319"/>
      <c r="J169" s="263"/>
      <c r="K169" s="266"/>
      <c r="L169" s="266"/>
      <c r="M169" s="396"/>
      <c r="O169" s="395"/>
    </row>
    <row r="170" spans="1:15" ht="21">
      <c r="A170" s="318"/>
      <c r="B170" s="318"/>
      <c r="C170" s="321" t="s">
        <v>77</v>
      </c>
      <c r="D170" s="379" t="str">
        <f>IF(('EntryData-ประถม&amp;มัธยม(ตบช.6-12)'!F81="Auto-calculate"),"Auto-calculate",'EntryData-ประถม&amp;มัธยม(ตบช.6-12)'!F81)</f>
        <v>Auto-calculate</v>
      </c>
      <c r="E170" s="319"/>
      <c r="F170" s="319"/>
      <c r="G170" s="319"/>
      <c r="H170" s="319"/>
      <c r="I170" s="319"/>
      <c r="J170" s="263"/>
      <c r="K170" s="266"/>
      <c r="L170" s="266"/>
      <c r="M170" s="396"/>
      <c r="O170" s="395"/>
    </row>
    <row r="171" spans="1:15" ht="24.75" customHeight="1">
      <c r="A171" s="318"/>
      <c r="B171" s="318"/>
      <c r="C171" s="264"/>
      <c r="D171" s="321"/>
      <c r="E171" s="319"/>
      <c r="F171" s="319"/>
      <c r="G171" s="319"/>
      <c r="H171" s="319"/>
      <c r="I171" s="319"/>
      <c r="J171" s="263"/>
      <c r="K171" s="266"/>
      <c r="L171" s="266"/>
      <c r="M171" s="396"/>
      <c r="O171" s="395"/>
    </row>
    <row r="172" spans="1:2" ht="21">
      <c r="A172" s="283" t="s">
        <v>834</v>
      </c>
      <c r="B172" s="283"/>
    </row>
    <row r="173" spans="1:2" ht="12" customHeight="1">
      <c r="A173" s="283"/>
      <c r="B173" s="283"/>
    </row>
    <row r="174" spans="1:2" ht="21">
      <c r="A174" s="284" t="s">
        <v>32</v>
      </c>
      <c r="B174" s="284"/>
    </row>
    <row r="175" ht="9.75" customHeight="1" thickBot="1"/>
    <row r="176" spans="1:15" ht="21">
      <c r="A176" s="689" t="s">
        <v>688</v>
      </c>
      <c r="B176" s="690"/>
      <c r="C176" s="285" t="s">
        <v>644</v>
      </c>
      <c r="D176" s="285" t="s">
        <v>689</v>
      </c>
      <c r="E176" s="684" t="s">
        <v>697</v>
      </c>
      <c r="F176" s="685"/>
      <c r="G176" s="685"/>
      <c r="H176" s="685"/>
      <c r="I176" s="686"/>
      <c r="J176" s="263"/>
      <c r="K176" s="266"/>
      <c r="L176" s="266"/>
      <c r="M176" s="396"/>
      <c r="O176" s="395"/>
    </row>
    <row r="177" spans="1:15" ht="42">
      <c r="A177" s="691"/>
      <c r="B177" s="692"/>
      <c r="C177" s="320" t="s">
        <v>831</v>
      </c>
      <c r="D177" s="286" t="s">
        <v>690</v>
      </c>
      <c r="E177" s="316" t="s">
        <v>691</v>
      </c>
      <c r="F177" s="316" t="s">
        <v>692</v>
      </c>
      <c r="G177" s="316" t="s">
        <v>822</v>
      </c>
      <c r="H177" s="316" t="s">
        <v>823</v>
      </c>
      <c r="I177" s="317" t="s">
        <v>824</v>
      </c>
      <c r="J177" s="263"/>
      <c r="K177" s="266"/>
      <c r="L177" s="266"/>
      <c r="M177" s="396"/>
      <c r="O177" s="395"/>
    </row>
    <row r="178" spans="1:15" ht="21">
      <c r="A178" s="682" t="s">
        <v>33</v>
      </c>
      <c r="B178" s="683"/>
      <c r="C178" s="288">
        <v>2</v>
      </c>
      <c r="D178" s="288" t="str">
        <f>IF(('EntryData-ประถม&amp;มัธยม(ตบช.6-12)'!E88="Auto-calculate"),"Auto-calculate",'EntryData-ประถม&amp;มัธยม(ตบช.6-12)'!E88)</f>
        <v>Auto-calculate</v>
      </c>
      <c r="E178" s="359"/>
      <c r="F178" s="359"/>
      <c r="G178" s="359"/>
      <c r="H178" s="359"/>
      <c r="I178" s="360"/>
      <c r="J178" s="263"/>
      <c r="K178" s="266"/>
      <c r="L178" s="266"/>
      <c r="M178" s="396"/>
      <c r="O178" s="395"/>
    </row>
    <row r="179" spans="1:15" ht="21">
      <c r="A179" s="682" t="s">
        <v>34</v>
      </c>
      <c r="B179" s="683"/>
      <c r="C179" s="288">
        <v>3</v>
      </c>
      <c r="D179" s="288" t="str">
        <f>IF(('EntryData-ประถม&amp;มัธยม(ตบช.6-12)'!E93="Auto-calculate"),"Auto-calculate",'EntryData-ประถม&amp;มัธยม(ตบช.6-12)'!E93)</f>
        <v>Auto-calculate</v>
      </c>
      <c r="E179" s="359"/>
      <c r="F179" s="359"/>
      <c r="G179" s="359"/>
      <c r="H179" s="359"/>
      <c r="I179" s="360"/>
      <c r="J179" s="263"/>
      <c r="K179" s="266"/>
      <c r="L179" s="266"/>
      <c r="M179" s="396"/>
      <c r="O179" s="395"/>
    </row>
    <row r="180" spans="1:15" ht="21.75" thickBot="1">
      <c r="A180" s="772" t="s">
        <v>980</v>
      </c>
      <c r="B180" s="773"/>
      <c r="C180" s="326">
        <f>SUM(C178:C179)</f>
        <v>5</v>
      </c>
      <c r="D180" s="325" t="str">
        <f>IF(('EntryData-ประถม&amp;มัธยม(ตบช.6-12)'!E87="Auto-calculate"),"Auto-calculate",'EntryData-ประถม&amp;มัธยม(ตบช.6-12)'!E87)</f>
        <v>Auto-calculate</v>
      </c>
      <c r="E180" s="361" t="str">
        <f>IF((D180="Auto-calculate"),":",IF(AND((D180&gt;=0),(D180&lt;=2.49)),"ü",""))</f>
        <v>:</v>
      </c>
      <c r="F180" s="361" t="str">
        <f>IF((D180="Auto-calculate"),":",IF(AND((D180&gt;=2.5),(D180&lt;=2.99)),"ü",""))</f>
        <v>:</v>
      </c>
      <c r="G180" s="361" t="str">
        <f>IF((D180="Auto-calculate"),":",IF(AND((D180&gt;=3),(D180&lt;=3.74)),"ü",""))</f>
        <v>:</v>
      </c>
      <c r="H180" s="361" t="str">
        <f>IF((D180="Auto-calculate"),":",IF(AND((D180&gt;=3.75),(D180&lt;=4.49)),"ü",""))</f>
        <v>:</v>
      </c>
      <c r="I180" s="362" t="str">
        <f>IF((D180="Auto-calculate"),":",IF(AND((D180&gt;=4.5),(D180&lt;=5)),"ü",""))</f>
        <v>:</v>
      </c>
      <c r="J180" s="263"/>
      <c r="K180" s="266"/>
      <c r="L180" s="266"/>
      <c r="M180" s="396"/>
      <c r="O180" s="395"/>
    </row>
    <row r="181" spans="1:15" ht="11.25" customHeight="1">
      <c r="A181" s="318"/>
      <c r="B181" s="318"/>
      <c r="C181" s="309"/>
      <c r="D181" s="309"/>
      <c r="E181" s="319"/>
      <c r="F181" s="319"/>
      <c r="G181" s="319"/>
      <c r="H181" s="319"/>
      <c r="I181" s="319"/>
      <c r="J181" s="263"/>
      <c r="K181" s="266"/>
      <c r="L181" s="266"/>
      <c r="M181" s="396"/>
      <c r="O181" s="395"/>
    </row>
    <row r="182" spans="1:15" ht="21">
      <c r="A182" s="318"/>
      <c r="B182" s="318"/>
      <c r="C182" s="321" t="s">
        <v>76</v>
      </c>
      <c r="D182" s="379" t="str">
        <f>IF(('EntryData-ประถม&amp;มัธยม(ตบช.6-12)'!F87="Auto-calculate"),"Auto-calculate",'EntryData-ประถม&amp;มัธยม(ตบช.6-12)'!F87)</f>
        <v>Auto-calculate</v>
      </c>
      <c r="E182" s="319"/>
      <c r="F182" s="319"/>
      <c r="G182" s="319"/>
      <c r="H182" s="319"/>
      <c r="I182" s="319"/>
      <c r="J182" s="263"/>
      <c r="K182" s="266"/>
      <c r="L182" s="266"/>
      <c r="M182" s="396"/>
      <c r="O182" s="395"/>
    </row>
    <row r="183" spans="1:15" ht="21">
      <c r="A183" s="318"/>
      <c r="B183" s="318"/>
      <c r="C183" s="264"/>
      <c r="D183" s="321"/>
      <c r="E183" s="319"/>
      <c r="F183" s="319"/>
      <c r="G183" s="319"/>
      <c r="H183" s="319"/>
      <c r="I183" s="319"/>
      <c r="J183" s="263"/>
      <c r="K183" s="266"/>
      <c r="L183" s="266"/>
      <c r="M183" s="396"/>
      <c r="O183" s="395"/>
    </row>
    <row r="184" spans="1:2" ht="21">
      <c r="A184" s="284" t="s">
        <v>35</v>
      </c>
      <c r="B184" s="284"/>
    </row>
    <row r="185" spans="1:2" ht="21">
      <c r="A185" s="295" t="s">
        <v>45</v>
      </c>
      <c r="B185" s="295" t="s">
        <v>46</v>
      </c>
    </row>
    <row r="186" ht="9.75" customHeight="1" thickBot="1"/>
    <row r="187" spans="1:15" ht="21">
      <c r="A187" s="689" t="s">
        <v>688</v>
      </c>
      <c r="B187" s="690"/>
      <c r="C187" s="285" t="s">
        <v>644</v>
      </c>
      <c r="D187" s="285" t="s">
        <v>689</v>
      </c>
      <c r="E187" s="684" t="s">
        <v>697</v>
      </c>
      <c r="F187" s="685"/>
      <c r="G187" s="685"/>
      <c r="H187" s="685"/>
      <c r="I187" s="686"/>
      <c r="J187" s="263"/>
      <c r="K187" s="266"/>
      <c r="L187" s="266"/>
      <c r="M187" s="396"/>
      <c r="O187" s="395"/>
    </row>
    <row r="188" spans="1:15" ht="42">
      <c r="A188" s="691"/>
      <c r="B188" s="692"/>
      <c r="C188" s="320" t="s">
        <v>831</v>
      </c>
      <c r="D188" s="286" t="s">
        <v>690</v>
      </c>
      <c r="E188" s="316" t="s">
        <v>691</v>
      </c>
      <c r="F188" s="316" t="s">
        <v>692</v>
      </c>
      <c r="G188" s="316" t="s">
        <v>822</v>
      </c>
      <c r="H188" s="316" t="s">
        <v>823</v>
      </c>
      <c r="I188" s="317" t="s">
        <v>824</v>
      </c>
      <c r="J188" s="263"/>
      <c r="K188" s="266"/>
      <c r="L188" s="266"/>
      <c r="M188" s="396"/>
      <c r="O188" s="395"/>
    </row>
    <row r="189" spans="1:15" ht="69" customHeight="1">
      <c r="A189" s="682" t="s">
        <v>36</v>
      </c>
      <c r="B189" s="683"/>
      <c r="C189" s="288">
        <v>5</v>
      </c>
      <c r="D189" s="288" t="str">
        <f>IF(('EntryData-ประถม&amp;มัธยม(ตบช.6-12)'!E94="Auto-calculate"),"Auto-calculate",'EntryData-ประถม&amp;มัธยม(ตบช.6-12)'!E94)</f>
        <v>Auto-calculate</v>
      </c>
      <c r="E189" s="363" t="str">
        <f>IF((D189="Auto-calculate"),":",IF((D189&lt;=1),"ü",""))</f>
        <v>:</v>
      </c>
      <c r="F189" s="363" t="str">
        <f>IF((D189="Auto-calculate"),":",IF((D189=2),"ü",""))</f>
        <v>:</v>
      </c>
      <c r="G189" s="363" t="str">
        <f>IF((D189="Auto-calculate"),":",IF((D189=3),"ü",""))</f>
        <v>:</v>
      </c>
      <c r="H189" s="363" t="str">
        <f>IF((D189="Auto-calculate"),":",IF((D189=4),"ü",""))</f>
        <v>:</v>
      </c>
      <c r="I189" s="364" t="str">
        <f>IF((D189="Auto-calculate"),":",IF((D189=5),"ü",""))</f>
        <v>:</v>
      </c>
      <c r="J189" s="263"/>
      <c r="K189" s="266"/>
      <c r="L189" s="266"/>
      <c r="M189" s="396"/>
      <c r="O189" s="395"/>
    </row>
    <row r="190" spans="1:15" ht="21.75" thickBot="1">
      <c r="A190" s="772" t="s">
        <v>981</v>
      </c>
      <c r="B190" s="773"/>
      <c r="C190" s="326">
        <f>SUM(C189:C189)</f>
        <v>5</v>
      </c>
      <c r="D190" s="325" t="str">
        <f>IF(('EntryData-ประถม&amp;มัธยม(ตบช.6-12)'!E94="Auto-calculate"),"Auto-calculate",'EntryData-ประถม&amp;มัธยม(ตบช.6-12)'!E94)</f>
        <v>Auto-calculate</v>
      </c>
      <c r="E190" s="361" t="str">
        <f>IF((D190="Auto-calculate"),":",IF((D190&lt;=1),"ü",""))</f>
        <v>:</v>
      </c>
      <c r="F190" s="361" t="str">
        <f>IF((D190="Auto-calculate"),":",IF((D190=2),"ü",""))</f>
        <v>:</v>
      </c>
      <c r="G190" s="361" t="str">
        <f>IF((D190="Auto-calculate"),":",IF((D190=3),"ü",""))</f>
        <v>:</v>
      </c>
      <c r="H190" s="361" t="str">
        <f>IF((D190="Auto-calculate"),":",IF((D190=4),"ü",""))</f>
        <v>:</v>
      </c>
      <c r="I190" s="362" t="str">
        <f>IF((D190="Auto-calculate"),":",IF((D190=5),"ü",""))</f>
        <v>:</v>
      </c>
      <c r="J190" s="263"/>
      <c r="K190" s="266"/>
      <c r="L190" s="266"/>
      <c r="M190" s="396"/>
      <c r="O190" s="395"/>
    </row>
    <row r="191" spans="1:15" ht="11.25" customHeight="1">
      <c r="A191" s="318"/>
      <c r="B191" s="318"/>
      <c r="C191" s="309"/>
      <c r="D191" s="309"/>
      <c r="E191" s="319"/>
      <c r="F191" s="319"/>
      <c r="G191" s="319"/>
      <c r="H191" s="319"/>
      <c r="I191" s="319"/>
      <c r="J191" s="263"/>
      <c r="K191" s="266"/>
      <c r="L191" s="266"/>
      <c r="M191" s="396"/>
      <c r="O191" s="395"/>
    </row>
    <row r="192" spans="1:15" ht="21">
      <c r="A192" s="318"/>
      <c r="B192" s="318"/>
      <c r="C192" s="321" t="s">
        <v>75</v>
      </c>
      <c r="D192" s="380" t="str">
        <f>IF(('EntryData-ประถม&amp;มัธยม(ตบช.6-12)'!F94="Auto-calculate"),"Auto-calculate",'EntryData-ประถม&amp;มัธยม(ตบช.6-12)'!F94)</f>
        <v>Auto-calculate</v>
      </c>
      <c r="E192" s="319"/>
      <c r="F192" s="319"/>
      <c r="G192" s="319"/>
      <c r="H192" s="319"/>
      <c r="I192" s="319"/>
      <c r="J192" s="263"/>
      <c r="K192" s="266"/>
      <c r="L192" s="266"/>
      <c r="M192" s="396"/>
      <c r="O192" s="395"/>
    </row>
    <row r="193" spans="1:2" ht="21">
      <c r="A193" s="283"/>
      <c r="B193" s="283"/>
    </row>
    <row r="194" spans="1:3" ht="21">
      <c r="A194" s="284" t="s">
        <v>74</v>
      </c>
      <c r="B194" s="284"/>
      <c r="C194" s="294"/>
    </row>
    <row r="195" spans="1:3" ht="12" customHeight="1">
      <c r="A195" s="284"/>
      <c r="B195" s="284"/>
      <c r="C195" s="294"/>
    </row>
    <row r="196" spans="1:3" ht="21">
      <c r="A196" s="327" t="s">
        <v>39</v>
      </c>
      <c r="B196" s="327"/>
      <c r="C196" s="328"/>
    </row>
    <row r="197" spans="1:3" ht="21">
      <c r="A197" s="327"/>
      <c r="B197" s="327"/>
      <c r="C197" s="328"/>
    </row>
    <row r="198" spans="1:10" ht="20.25">
      <c r="A198" s="329" t="s">
        <v>73</v>
      </c>
      <c r="B198" s="329"/>
      <c r="C198" s="330"/>
      <c r="I198" s="264"/>
      <c r="J198" s="263"/>
    </row>
    <row r="199" spans="1:10" ht="20.25">
      <c r="A199" s="331" t="s">
        <v>37</v>
      </c>
      <c r="B199" s="358" t="s">
        <v>72</v>
      </c>
      <c r="I199" s="264"/>
      <c r="J199" s="263"/>
    </row>
    <row r="200" spans="1:10" ht="20.25">
      <c r="A200" s="331" t="s">
        <v>38</v>
      </c>
      <c r="B200" s="358" t="s">
        <v>751</v>
      </c>
      <c r="C200" s="330"/>
      <c r="I200" s="264"/>
      <c r="J200" s="263"/>
    </row>
    <row r="201" spans="1:10" ht="20.25">
      <c r="A201" s="382" t="s">
        <v>752</v>
      </c>
      <c r="C201" s="330"/>
      <c r="I201" s="264"/>
      <c r="J201" s="263"/>
    </row>
    <row r="202" spans="1:10" ht="12" customHeight="1">
      <c r="A202" s="331"/>
      <c r="B202" s="358"/>
      <c r="C202" s="330"/>
      <c r="I202" s="264"/>
      <c r="J202" s="263"/>
    </row>
    <row r="203" spans="1:11" ht="21">
      <c r="A203" s="296" t="str">
        <f>"ตัวบ่งชี้ที่มีคุณภาพระดับดีขึ้นไป (เรียงลำดับตามระดับคุณภาพจากดีมาก -&gt; ดี โดยเรียงตามลำดับตัวบ่งชี้) จำนวน "&amp;K203&amp;" มาตรฐาน คือ"</f>
        <v>ตัวบ่งชี้ที่มีคุณภาพระดับดีขึ้นไป (เรียงลำดับตามระดับคุณภาพจากดีมาก -&gt; ดี โดยเรียงตามลำดับตัวบ่งชี้) จำนวน 0 มาตรฐาน คือ</v>
      </c>
      <c r="B203" s="296"/>
      <c r="C203" s="294"/>
      <c r="J203" s="383" t="s">
        <v>754</v>
      </c>
      <c r="K203" s="385">
        <f>SUM((COUNTIF(F206:F217,"ดีมาก")),(COUNTIF(F206:F217,"ดี")))</f>
        <v>0</v>
      </c>
    </row>
    <row r="204" spans="1:3" ht="8.25" customHeight="1" thickBot="1">
      <c r="A204" s="296"/>
      <c r="B204" s="296"/>
      <c r="C204" s="294"/>
    </row>
    <row r="205" spans="1:10" ht="42.75" thickBot="1">
      <c r="A205" s="297" t="s">
        <v>798</v>
      </c>
      <c r="B205" s="693" t="s">
        <v>799</v>
      </c>
      <c r="C205" s="694"/>
      <c r="D205" s="694"/>
      <c r="E205" s="695"/>
      <c r="F205" s="297" t="s">
        <v>697</v>
      </c>
      <c r="G205" s="297" t="s">
        <v>830</v>
      </c>
      <c r="H205" s="297" t="s">
        <v>826</v>
      </c>
      <c r="J205" s="413" t="s">
        <v>755</v>
      </c>
    </row>
    <row r="206" spans="1:10" ht="21">
      <c r="A206" s="389">
        <v>1</v>
      </c>
      <c r="B206" s="412" t="s">
        <v>643</v>
      </c>
      <c r="C206" s="389"/>
      <c r="D206" s="389"/>
      <c r="E206" s="389"/>
      <c r="F206" s="389" t="s">
        <v>750</v>
      </c>
      <c r="G206" s="414" t="s">
        <v>750</v>
      </c>
      <c r="H206" s="415">
        <v>1</v>
      </c>
      <c r="J206" s="384">
        <f aca="true" t="shared" si="5" ref="J206:J217">IF((F206="ดีมาก"),1,IF((F206="ดี"),2,IF((F206="พอใช้"),3,IF((F206="ต้องปรับปรุง"),4,IF((F206="ต้องปรับปรุงเร่งด่วน"),5,0)))))</f>
        <v>0</v>
      </c>
    </row>
    <row r="207" spans="1:10" ht="21" customHeight="1">
      <c r="A207" s="389">
        <v>2</v>
      </c>
      <c r="B207" s="412" t="s">
        <v>779</v>
      </c>
      <c r="C207" s="389"/>
      <c r="D207" s="389"/>
      <c r="E207" s="389"/>
      <c r="F207" s="389" t="s">
        <v>750</v>
      </c>
      <c r="G207" s="414" t="s">
        <v>750</v>
      </c>
      <c r="H207" s="415">
        <v>2</v>
      </c>
      <c r="J207" s="384">
        <f t="shared" si="5"/>
        <v>0</v>
      </c>
    </row>
    <row r="208" spans="1:10" ht="21" customHeight="1">
      <c r="A208" s="389">
        <v>3</v>
      </c>
      <c r="B208" s="412" t="s">
        <v>56</v>
      </c>
      <c r="C208" s="389"/>
      <c r="D208" s="389"/>
      <c r="E208" s="389"/>
      <c r="F208" s="389" t="s">
        <v>750</v>
      </c>
      <c r="G208" s="414" t="s">
        <v>750</v>
      </c>
      <c r="H208" s="415">
        <v>3</v>
      </c>
      <c r="J208" s="384">
        <f t="shared" si="5"/>
        <v>0</v>
      </c>
    </row>
    <row r="209" spans="1:10" ht="21">
      <c r="A209" s="389">
        <v>4</v>
      </c>
      <c r="B209" s="412" t="s">
        <v>787</v>
      </c>
      <c r="C209" s="389"/>
      <c r="D209" s="389"/>
      <c r="E209" s="389"/>
      <c r="F209" s="389" t="s">
        <v>750</v>
      </c>
      <c r="G209" s="414" t="s">
        <v>750</v>
      </c>
      <c r="H209" s="415">
        <v>4</v>
      </c>
      <c r="J209" s="384">
        <f t="shared" si="5"/>
        <v>0</v>
      </c>
    </row>
    <row r="210" spans="1:10" ht="21" customHeight="1">
      <c r="A210" s="389">
        <v>5</v>
      </c>
      <c r="B210" s="412" t="s">
        <v>790</v>
      </c>
      <c r="C210" s="389"/>
      <c r="D210" s="389"/>
      <c r="E210" s="389"/>
      <c r="F210" s="389" t="s">
        <v>750</v>
      </c>
      <c r="G210" s="414" t="s">
        <v>750</v>
      </c>
      <c r="H210" s="415">
        <v>5</v>
      </c>
      <c r="J210" s="384">
        <f t="shared" si="5"/>
        <v>0</v>
      </c>
    </row>
    <row r="211" spans="1:10" ht="21" customHeight="1">
      <c r="A211" s="389">
        <v>7</v>
      </c>
      <c r="B211" s="412" t="s">
        <v>876</v>
      </c>
      <c r="C211" s="389"/>
      <c r="D211" s="389"/>
      <c r="E211" s="389"/>
      <c r="F211" s="389" t="s">
        <v>750</v>
      </c>
      <c r="G211" s="414" t="s">
        <v>750</v>
      </c>
      <c r="H211" s="415">
        <v>6</v>
      </c>
      <c r="J211" s="384">
        <f t="shared" si="5"/>
        <v>0</v>
      </c>
    </row>
    <row r="212" spans="1:10" ht="21">
      <c r="A212" s="389">
        <v>8</v>
      </c>
      <c r="B212" s="412" t="s">
        <v>892</v>
      </c>
      <c r="C212" s="389"/>
      <c r="D212" s="389"/>
      <c r="E212" s="389"/>
      <c r="F212" s="389" t="s">
        <v>750</v>
      </c>
      <c r="G212" s="414" t="s">
        <v>750</v>
      </c>
      <c r="H212" s="415">
        <v>7</v>
      </c>
      <c r="J212" s="384">
        <f t="shared" si="5"/>
        <v>0</v>
      </c>
    </row>
    <row r="213" spans="1:10" ht="21" customHeight="1">
      <c r="A213" s="389">
        <v>9</v>
      </c>
      <c r="B213" s="412" t="s">
        <v>558</v>
      </c>
      <c r="C213" s="389"/>
      <c r="D213" s="389"/>
      <c r="E213" s="389"/>
      <c r="F213" s="389" t="s">
        <v>750</v>
      </c>
      <c r="G213" s="414" t="s">
        <v>750</v>
      </c>
      <c r="H213" s="415">
        <v>8</v>
      </c>
      <c r="J213" s="384">
        <f t="shared" si="5"/>
        <v>0</v>
      </c>
    </row>
    <row r="214" spans="1:10" ht="21" customHeight="1">
      <c r="A214" s="389">
        <v>10</v>
      </c>
      <c r="B214" s="412" t="s">
        <v>660</v>
      </c>
      <c r="C214" s="389"/>
      <c r="D214" s="389"/>
      <c r="E214" s="389"/>
      <c r="F214" s="389" t="s">
        <v>750</v>
      </c>
      <c r="G214" s="414" t="s">
        <v>750</v>
      </c>
      <c r="H214" s="415">
        <v>9</v>
      </c>
      <c r="J214" s="384">
        <f t="shared" si="5"/>
        <v>0</v>
      </c>
    </row>
    <row r="215" spans="1:10" ht="21" customHeight="1">
      <c r="A215" s="389">
        <v>11</v>
      </c>
      <c r="B215" s="412" t="s">
        <v>61</v>
      </c>
      <c r="C215" s="389"/>
      <c r="D215" s="389"/>
      <c r="E215" s="389"/>
      <c r="F215" s="389" t="s">
        <v>750</v>
      </c>
      <c r="G215" s="414" t="s">
        <v>750</v>
      </c>
      <c r="H215" s="415">
        <v>10</v>
      </c>
      <c r="J215" s="384">
        <f t="shared" si="5"/>
        <v>0</v>
      </c>
    </row>
    <row r="216" spans="1:10" ht="21" customHeight="1">
      <c r="A216" s="389">
        <v>12</v>
      </c>
      <c r="B216" s="412" t="s">
        <v>559</v>
      </c>
      <c r="C216" s="389"/>
      <c r="D216" s="389"/>
      <c r="E216" s="389"/>
      <c r="F216" s="389" t="s">
        <v>750</v>
      </c>
      <c r="G216" s="414" t="s">
        <v>750</v>
      </c>
      <c r="H216" s="415">
        <v>11</v>
      </c>
      <c r="J216" s="384">
        <f t="shared" si="5"/>
        <v>0</v>
      </c>
    </row>
    <row r="217" spans="1:10" ht="21.75" customHeight="1">
      <c r="A217" s="389">
        <v>6</v>
      </c>
      <c r="B217" s="412" t="s">
        <v>53</v>
      </c>
      <c r="C217" s="389"/>
      <c r="D217" s="389"/>
      <c r="E217" s="389"/>
      <c r="F217" s="389" t="s">
        <v>691</v>
      </c>
      <c r="G217" s="414">
        <v>4</v>
      </c>
      <c r="H217" s="415">
        <v>12</v>
      </c>
      <c r="J217" s="384">
        <f t="shared" si="5"/>
        <v>5</v>
      </c>
    </row>
    <row r="218" spans="1:11" ht="21">
      <c r="A218" s="296"/>
      <c r="B218" s="296"/>
      <c r="C218" s="294"/>
      <c r="F218" s="298"/>
      <c r="H218" s="415"/>
      <c r="J218" s="668"/>
      <c r="K218" s="669"/>
    </row>
    <row r="219" spans="1:11" ht="21">
      <c r="A219" s="296" t="str">
        <f>"ตัวบ่งชี้ที่มีคุณภาพต่ำกว่าระดับดี  (เรียงลำดับตามระดับคุณภาพจาก ต้องปรับปรุงเร่งด่วน -&gt; พอใช้ โดยเรียงตามลำดับตัวบ่งชี้) จำนวน "&amp;K219&amp;" มาตรฐาน คือ"</f>
        <v>ตัวบ่งชี้ที่มีคุณภาพต่ำกว่าระดับดี  (เรียงลำดับตามระดับคุณภาพจาก ต้องปรับปรุงเร่งด่วน -&gt; พอใช้ โดยเรียงตามลำดับตัวบ่งชี้) จำนวน 1 มาตรฐาน คือ</v>
      </c>
      <c r="B219" s="296"/>
      <c r="C219" s="294"/>
      <c r="F219" s="298"/>
      <c r="J219" s="383" t="s">
        <v>753</v>
      </c>
      <c r="K219" s="386">
        <f>SUM((COUNTIF(F222:F233,"พอใช้")),(COUNTIF(F222:F233,"ต้องปรับปรุง")),(COUNTIF(F222:F233,"ต้องปรับปรุงเร่งด่วน")))</f>
        <v>1</v>
      </c>
    </row>
    <row r="220" spans="1:8" ht="12.75" customHeight="1" thickBot="1">
      <c r="A220" s="296"/>
      <c r="B220" s="296"/>
      <c r="C220" s="294"/>
      <c r="F220" s="298"/>
      <c r="H220" s="415"/>
    </row>
    <row r="221" spans="1:10" ht="40.5" customHeight="1" thickBot="1">
      <c r="A221" s="297" t="s">
        <v>798</v>
      </c>
      <c r="B221" s="693" t="s">
        <v>799</v>
      </c>
      <c r="C221" s="694"/>
      <c r="D221" s="694"/>
      <c r="E221" s="695"/>
      <c r="F221" s="297" t="s">
        <v>697</v>
      </c>
      <c r="G221" s="297" t="s">
        <v>830</v>
      </c>
      <c r="H221" s="297" t="s">
        <v>826</v>
      </c>
      <c r="J221" s="413" t="s">
        <v>755</v>
      </c>
    </row>
    <row r="222" spans="1:10" ht="21" customHeight="1">
      <c r="A222" s="392">
        <v>6</v>
      </c>
      <c r="B222" s="408" t="s">
        <v>53</v>
      </c>
      <c r="C222" s="392"/>
      <c r="D222" s="393"/>
      <c r="E222" s="393"/>
      <c r="F222" s="392" t="s">
        <v>691</v>
      </c>
      <c r="G222" s="394">
        <v>4</v>
      </c>
      <c r="H222" s="416">
        <v>1</v>
      </c>
      <c r="J222" s="384">
        <f aca="true" t="shared" si="6" ref="J222:J233">IF((F222="ดีมาก"),1,IF((F222="ดี"),2,IF((F222="พอใช้"),3,IF((F222="ต้องปรับปรุง"),4,IF((F222="ต้องปรับปรุงเร่งด่วน"),5,0)))))</f>
        <v>5</v>
      </c>
    </row>
    <row r="223" spans="1:10" ht="21">
      <c r="A223" s="392">
        <v>1</v>
      </c>
      <c r="B223" s="408" t="s">
        <v>643</v>
      </c>
      <c r="C223" s="392"/>
      <c r="D223" s="409"/>
      <c r="E223" s="409"/>
      <c r="F223" s="392" t="s">
        <v>750</v>
      </c>
      <c r="G223" s="394" t="s">
        <v>750</v>
      </c>
      <c r="H223" s="416">
        <v>2</v>
      </c>
      <c r="J223" s="384">
        <f t="shared" si="6"/>
        <v>0</v>
      </c>
    </row>
    <row r="224" spans="1:10" ht="21" customHeight="1">
      <c r="A224" s="392">
        <v>2</v>
      </c>
      <c r="B224" s="408" t="s">
        <v>779</v>
      </c>
      <c r="C224" s="392"/>
      <c r="D224" s="409"/>
      <c r="E224" s="409"/>
      <c r="F224" s="392" t="s">
        <v>750</v>
      </c>
      <c r="G224" s="394" t="s">
        <v>750</v>
      </c>
      <c r="H224" s="416">
        <v>3</v>
      </c>
      <c r="J224" s="384">
        <f t="shared" si="6"/>
        <v>0</v>
      </c>
    </row>
    <row r="225" spans="1:10" ht="21">
      <c r="A225" s="392">
        <v>3</v>
      </c>
      <c r="B225" s="408" t="s">
        <v>56</v>
      </c>
      <c r="C225" s="392"/>
      <c r="D225" s="409"/>
      <c r="E225" s="409"/>
      <c r="F225" s="392" t="s">
        <v>750</v>
      </c>
      <c r="G225" s="394" t="s">
        <v>750</v>
      </c>
      <c r="H225" s="416">
        <v>4</v>
      </c>
      <c r="J225" s="384">
        <f t="shared" si="6"/>
        <v>0</v>
      </c>
    </row>
    <row r="226" spans="1:10" ht="21" customHeight="1">
      <c r="A226" s="392">
        <v>4</v>
      </c>
      <c r="B226" s="408" t="s">
        <v>787</v>
      </c>
      <c r="C226" s="392"/>
      <c r="D226" s="409"/>
      <c r="E226" s="409"/>
      <c r="F226" s="392" t="s">
        <v>750</v>
      </c>
      <c r="G226" s="394" t="s">
        <v>750</v>
      </c>
      <c r="H226" s="416">
        <v>5</v>
      </c>
      <c r="J226" s="384">
        <f t="shared" si="6"/>
        <v>0</v>
      </c>
    </row>
    <row r="227" spans="1:10" ht="21">
      <c r="A227" s="392">
        <v>5</v>
      </c>
      <c r="B227" s="408" t="s">
        <v>790</v>
      </c>
      <c r="C227" s="392"/>
      <c r="D227" s="409"/>
      <c r="E227" s="409"/>
      <c r="F227" s="392" t="s">
        <v>750</v>
      </c>
      <c r="G227" s="394" t="s">
        <v>750</v>
      </c>
      <c r="H227" s="416">
        <v>6</v>
      </c>
      <c r="J227" s="384">
        <f t="shared" si="6"/>
        <v>0</v>
      </c>
    </row>
    <row r="228" spans="1:10" ht="21.75" customHeight="1">
      <c r="A228" s="392">
        <v>7</v>
      </c>
      <c r="B228" s="408" t="s">
        <v>876</v>
      </c>
      <c r="C228" s="392"/>
      <c r="D228" s="409"/>
      <c r="E228" s="409"/>
      <c r="F228" s="392" t="s">
        <v>750</v>
      </c>
      <c r="G228" s="394" t="s">
        <v>750</v>
      </c>
      <c r="H228" s="416">
        <v>7</v>
      </c>
      <c r="J228" s="384">
        <f t="shared" si="6"/>
        <v>0</v>
      </c>
    </row>
    <row r="229" spans="1:10" ht="21" customHeight="1">
      <c r="A229" s="392">
        <v>8</v>
      </c>
      <c r="B229" s="408" t="s">
        <v>892</v>
      </c>
      <c r="C229" s="392"/>
      <c r="D229" s="409"/>
      <c r="E229" s="409"/>
      <c r="F229" s="392" t="s">
        <v>750</v>
      </c>
      <c r="G229" s="394" t="s">
        <v>750</v>
      </c>
      <c r="H229" s="416">
        <v>8</v>
      </c>
      <c r="J229" s="384">
        <f t="shared" si="6"/>
        <v>0</v>
      </c>
    </row>
    <row r="230" spans="1:10" ht="21" customHeight="1">
      <c r="A230" s="392">
        <v>9</v>
      </c>
      <c r="B230" s="408" t="s">
        <v>558</v>
      </c>
      <c r="C230" s="392"/>
      <c r="D230" s="409"/>
      <c r="E230" s="409"/>
      <c r="F230" s="392" t="s">
        <v>750</v>
      </c>
      <c r="G230" s="394" t="s">
        <v>750</v>
      </c>
      <c r="H230" s="416">
        <v>9</v>
      </c>
      <c r="J230" s="384">
        <f t="shared" si="6"/>
        <v>0</v>
      </c>
    </row>
    <row r="231" spans="1:10" ht="21" customHeight="1">
      <c r="A231" s="392">
        <v>10</v>
      </c>
      <c r="B231" s="408" t="s">
        <v>660</v>
      </c>
      <c r="C231" s="392"/>
      <c r="D231" s="409"/>
      <c r="E231" s="409"/>
      <c r="F231" s="392" t="s">
        <v>750</v>
      </c>
      <c r="G231" s="394" t="s">
        <v>750</v>
      </c>
      <c r="H231" s="416">
        <v>10</v>
      </c>
      <c r="J231" s="384">
        <f t="shared" si="6"/>
        <v>0</v>
      </c>
    </row>
    <row r="232" spans="1:10" ht="21" customHeight="1">
      <c r="A232" s="392">
        <v>11</v>
      </c>
      <c r="B232" s="408" t="s">
        <v>61</v>
      </c>
      <c r="C232" s="392"/>
      <c r="D232" s="409"/>
      <c r="E232" s="409"/>
      <c r="F232" s="392" t="s">
        <v>750</v>
      </c>
      <c r="G232" s="394" t="s">
        <v>750</v>
      </c>
      <c r="H232" s="416">
        <v>11</v>
      </c>
      <c r="J232" s="384">
        <f t="shared" si="6"/>
        <v>0</v>
      </c>
    </row>
    <row r="233" spans="1:10" ht="21" customHeight="1">
      <c r="A233" s="392">
        <v>12</v>
      </c>
      <c r="B233" s="408" t="s">
        <v>559</v>
      </c>
      <c r="C233" s="392"/>
      <c r="D233" s="409"/>
      <c r="E233" s="409"/>
      <c r="F233" s="392" t="s">
        <v>750</v>
      </c>
      <c r="G233" s="392" t="s">
        <v>750</v>
      </c>
      <c r="H233" s="416">
        <v>12</v>
      </c>
      <c r="J233" s="384">
        <f t="shared" si="6"/>
        <v>0</v>
      </c>
    </row>
    <row r="234" spans="1:8" ht="21">
      <c r="A234" s="292"/>
      <c r="B234" s="292"/>
      <c r="C234" s="294"/>
      <c r="H234" s="416"/>
    </row>
    <row r="235" spans="1:19" s="47" customFormat="1" ht="21">
      <c r="A235" s="299" t="s">
        <v>827</v>
      </c>
      <c r="B235" s="299"/>
      <c r="D235" s="292"/>
      <c r="E235" s="300"/>
      <c r="F235" s="264"/>
      <c r="G235" s="301"/>
      <c r="H235" s="416"/>
      <c r="J235" s="372"/>
      <c r="M235" s="400"/>
      <c r="N235" s="76"/>
      <c r="O235" s="76"/>
      <c r="P235" s="76"/>
      <c r="Q235" s="76"/>
      <c r="R235" s="76"/>
      <c r="S235" s="76"/>
    </row>
    <row r="236" spans="1:19" s="48" customFormat="1" ht="23.25">
      <c r="A236" s="302" t="s">
        <v>828</v>
      </c>
      <c r="B236" s="302"/>
      <c r="D236" s="303"/>
      <c r="E236" s="300"/>
      <c r="F236" s="304"/>
      <c r="G236" s="305"/>
      <c r="H236" s="416"/>
      <c r="J236" s="61"/>
      <c r="M236" s="401"/>
      <c r="N236" s="78"/>
      <c r="O236" s="78"/>
      <c r="P236" s="78"/>
      <c r="Q236" s="78"/>
      <c r="R236" s="78"/>
      <c r="S236" s="78"/>
    </row>
    <row r="237" spans="1:19" s="48" customFormat="1" ht="23.25">
      <c r="A237" s="306" t="s">
        <v>829</v>
      </c>
      <c r="B237" s="306"/>
      <c r="D237" s="303"/>
      <c r="E237" s="300"/>
      <c r="F237" s="304"/>
      <c r="G237" s="305"/>
      <c r="J237" s="61"/>
      <c r="M237" s="401"/>
      <c r="N237" s="78"/>
      <c r="O237" s="78"/>
      <c r="P237" s="78"/>
      <c r="Q237" s="78"/>
      <c r="R237" s="78"/>
      <c r="S237" s="78"/>
    </row>
  </sheetData>
  <sheetProtection password="D502" sheet="1" formatCells="0" formatColumns="0" formatRows="0" sort="0"/>
  <protectedRanges>
    <protectedRange sqref="A206:IV207 A222:IV223 A208:G217 I208:IV217 A224:G233 I224:IV233 H220 H208:H218 H224:H236" name="Sort"/>
  </protectedRanges>
  <mergeCells count="100">
    <mergeCell ref="A147:B147"/>
    <mergeCell ref="A137:B137"/>
    <mergeCell ref="A125:B125"/>
    <mergeCell ref="A133:B134"/>
    <mergeCell ref="A168:B168"/>
    <mergeCell ref="A148:B148"/>
    <mergeCell ref="A114:B114"/>
    <mergeCell ref="A127:B127"/>
    <mergeCell ref="A126:B126"/>
    <mergeCell ref="A117:B117"/>
    <mergeCell ref="A115:B115"/>
    <mergeCell ref="A112:B112"/>
    <mergeCell ref="B205:E205"/>
    <mergeCell ref="B221:E221"/>
    <mergeCell ref="A189:B189"/>
    <mergeCell ref="A190:B190"/>
    <mergeCell ref="A179:B179"/>
    <mergeCell ref="A178:B178"/>
    <mergeCell ref="A187:B188"/>
    <mergeCell ref="E187:I187"/>
    <mergeCell ref="A180:B180"/>
    <mergeCell ref="B10:C10"/>
    <mergeCell ref="B3:D3"/>
    <mergeCell ref="B13:C13"/>
    <mergeCell ref="A136:B136"/>
    <mergeCell ref="A135:B135"/>
    <mergeCell ref="A78:B78"/>
    <mergeCell ref="B14:C14"/>
    <mergeCell ref="B16:C16"/>
    <mergeCell ref="A116:B116"/>
    <mergeCell ref="A107:B108"/>
    <mergeCell ref="A109:B109"/>
    <mergeCell ref="A100:B100"/>
    <mergeCell ref="A167:B167"/>
    <mergeCell ref="A176:B177"/>
    <mergeCell ref="B2:D2"/>
    <mergeCell ref="B11:C11"/>
    <mergeCell ref="B12:C12"/>
    <mergeCell ref="A7:C7"/>
    <mergeCell ref="A8:C8"/>
    <mergeCell ref="A28:D28"/>
    <mergeCell ref="B46:C46"/>
    <mergeCell ref="A30:D30"/>
    <mergeCell ref="B60:C60"/>
    <mergeCell ref="A68:B68"/>
    <mergeCell ref="A81:B81"/>
    <mergeCell ref="A113:B113"/>
    <mergeCell ref="A37:C37"/>
    <mergeCell ref="B41:C41"/>
    <mergeCell ref="B42:C42"/>
    <mergeCell ref="A36:C36"/>
    <mergeCell ref="B15:C15"/>
    <mergeCell ref="B19:C19"/>
    <mergeCell ref="B20:C20"/>
    <mergeCell ref="B22:C22"/>
    <mergeCell ref="A26:D26"/>
    <mergeCell ref="A27:D27"/>
    <mergeCell ref="B23:C23"/>
    <mergeCell ref="A24:C24"/>
    <mergeCell ref="B17:C17"/>
    <mergeCell ref="E133:I133"/>
    <mergeCell ref="E76:I76"/>
    <mergeCell ref="E87:I87"/>
    <mergeCell ref="E97:I97"/>
    <mergeCell ref="E107:I107"/>
    <mergeCell ref="A89:B89"/>
    <mergeCell ref="A87:B88"/>
    <mergeCell ref="A91:B91"/>
    <mergeCell ref="A90:B90"/>
    <mergeCell ref="A111:B111"/>
    <mergeCell ref="E66:I66"/>
    <mergeCell ref="A80:B80"/>
    <mergeCell ref="A110:B110"/>
    <mergeCell ref="E165:I165"/>
    <mergeCell ref="A101:B101"/>
    <mergeCell ref="A123:B124"/>
    <mergeCell ref="A138:B138"/>
    <mergeCell ref="E123:I123"/>
    <mergeCell ref="A70:B70"/>
    <mergeCell ref="A69:B69"/>
    <mergeCell ref="B52:C52"/>
    <mergeCell ref="E176:I176"/>
    <mergeCell ref="E144:I144"/>
    <mergeCell ref="A159:B159"/>
    <mergeCell ref="A158:B158"/>
    <mergeCell ref="A156:B157"/>
    <mergeCell ref="E156:I156"/>
    <mergeCell ref="A146:B146"/>
    <mergeCell ref="A144:B145"/>
    <mergeCell ref="A165:B166"/>
    <mergeCell ref="B57:C57"/>
    <mergeCell ref="A99:B99"/>
    <mergeCell ref="B47:C47"/>
    <mergeCell ref="B49:C49"/>
    <mergeCell ref="A79:B79"/>
    <mergeCell ref="A97:B98"/>
    <mergeCell ref="A66:B67"/>
    <mergeCell ref="A76:B77"/>
    <mergeCell ref="B54:C54"/>
    <mergeCell ref="A61:C61"/>
  </mergeCells>
  <conditionalFormatting sqref="D222:E233">
    <cfRule type="expression" priority="1" dxfId="17" stopIfTrue="1">
      <formula>$G222="ไม่ได้"</formula>
    </cfRule>
  </conditionalFormatting>
  <conditionalFormatting sqref="E25 E33 B2:B3">
    <cfRule type="expression" priority="5" dxfId="0" stopIfTrue="1">
      <formula>B2&lt;&gt;""</formula>
    </cfRule>
  </conditionalFormatting>
  <conditionalFormatting sqref="A206:H217 H220 H208:H218">
    <cfRule type="expression" priority="8" dxfId="17" stopIfTrue="1">
      <formula>OR(($F206="พอใช้"),($F206="ต้องปรับปรุง"),$F206="ต้องปรับปรุงเร่งด่วน")</formula>
    </cfRule>
  </conditionalFormatting>
  <conditionalFormatting sqref="A222:C233 F222:H233 H224:H236">
    <cfRule type="expression" priority="9" dxfId="17" stopIfTrue="1">
      <formula>OR(($F222="ดีมาก"),($F222="ดี"))</formula>
    </cfRule>
  </conditionalFormatting>
  <dataValidations count="1">
    <dataValidation operator="greaterThan" allowBlank="1" showInputMessage="1" showErrorMessage="1" sqref="F61 F24"/>
  </dataValidations>
  <printOptions/>
  <pageMargins left="0.45" right="0.11811023622047245" top="0.15748031496062992" bottom="0.15748031496062992" header="0.15748031496062992" footer="0.07874015748031496"/>
  <pageSetup horizontalDpi="180" verticalDpi="180" orientation="portrait" paperSize="9" scale="84" r:id="rId2"/>
  <headerFooter alignWithMargins="0">
    <oddFooter>&amp;L&amp;7&amp;Z&amp;F&amp;R&amp;"BrowalliaUPC,ธรรมดา"&amp;14รับรองข้อมูลถูกต้อง     
..........................................</oddFooter>
  </headerFooter>
  <rowBreaks count="7" manualBreakCount="7">
    <brk id="32" max="8" man="1"/>
    <brk id="62" max="8" man="1"/>
    <brk id="104" max="8" man="1"/>
    <brk id="130" max="8" man="1"/>
    <brk id="170" max="8" man="1"/>
    <brk id="192" max="8" man="1"/>
    <brk id="23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2014-01-20T22:15:39Z</cp:lastPrinted>
  <dcterms:created xsi:type="dcterms:W3CDTF">2010-01-30T01:27:21Z</dcterms:created>
  <dcterms:modified xsi:type="dcterms:W3CDTF">2014-06-25T15:51:58Z</dcterms:modified>
  <cp:category/>
  <cp:version/>
  <cp:contentType/>
  <cp:contentStatus/>
</cp:coreProperties>
</file>